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rabanito/Documents/_WORK/_PIC/_P-I-C/WEBSITE/Lead Value Calculator/"/>
    </mc:Choice>
  </mc:AlternateContent>
  <xr:revisionPtr revIDLastSave="0" documentId="13_ncr:1_{EDE3CB18-37CE-334C-9434-14E55DC64481}" xr6:coauthVersionLast="47" xr6:coauthVersionMax="47" xr10:uidLastSave="{00000000-0000-0000-0000-000000000000}"/>
  <bookViews>
    <workbookView xWindow="0" yWindow="500" windowWidth="35840" windowHeight="20680" tabRatio="816" xr2:uid="{00000000-000D-0000-FFFF-FFFF00000000}"/>
  </bookViews>
  <sheets>
    <sheet name="Inputs" sheetId="14" r:id="rId1"/>
    <sheet name="Report" sheetId="15" r:id="rId2"/>
    <sheet name="Scrap Paper" sheetId="17" state="hidden" r:id="rId3"/>
    <sheet name="Goal Calculator" sheetId="12" state="hidden" r:id="rId4"/>
    <sheet name="Monthly Opp Goals" sheetId="16" state="hidden" r:id="rId5"/>
    <sheet name="Lead Value Sandbox" sheetId="2" state="hidden" r:id="rId6"/>
    <sheet name="URL Tracking" sheetId="3" r:id="rId7"/>
    <sheet name="Useful Links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D6" i="17"/>
  <c r="D9" i="17" s="1"/>
  <c r="D5" i="17"/>
  <c r="D4" i="17"/>
  <c r="D3" i="17"/>
  <c r="D2" i="17"/>
  <c r="B3" i="17"/>
  <c r="B2" i="17"/>
  <c r="C5" i="16"/>
  <c r="B1" i="16"/>
  <c r="B5" i="16" s="1"/>
  <c r="B4" i="2"/>
  <c r="D18" i="2"/>
  <c r="D11" i="12"/>
  <c r="D7" i="12"/>
  <c r="D16" i="2" s="1"/>
  <c r="D9" i="12"/>
  <c r="D14" i="2" s="1"/>
  <c r="D5" i="12"/>
  <c r="D3" i="12"/>
  <c r="A7" i="14"/>
  <c r="B13" i="12"/>
  <c r="B20" i="12"/>
  <c r="N13" i="2" a="1"/>
  <c r="N13" i="2" s="1"/>
  <c r="B12" i="2" s="1"/>
  <c r="B28" i="12"/>
  <c r="B24" i="12"/>
  <c r="F29" i="12"/>
  <c r="D29" i="12"/>
  <c r="B29" i="12"/>
  <c r="F25" i="12"/>
  <c r="D25" i="12"/>
  <c r="B25" i="12"/>
  <c r="F21" i="12"/>
  <c r="D21" i="12"/>
  <c r="B21" i="12"/>
  <c r="B15" i="12"/>
  <c r="B7" i="12"/>
  <c r="C24" i="3"/>
  <c r="D13" i="12" l="1"/>
  <c r="D6" i="15" s="1"/>
  <c r="B10" i="2"/>
  <c r="D18" i="15" s="1"/>
  <c r="B22" i="12"/>
  <c r="F22" i="12"/>
  <c r="D22" i="12"/>
  <c r="D9" i="2"/>
  <c r="B21" i="2"/>
  <c r="B14" i="2"/>
  <c r="D15" i="12" l="1"/>
  <c r="B2" i="16" s="1"/>
  <c r="B3" i="16" s="1"/>
  <c r="B16" i="16" s="1"/>
  <c r="C16" i="16" s="1"/>
  <c r="F4" i="12" l="1"/>
  <c r="D8" i="15"/>
  <c r="D12" i="2"/>
  <c r="D7" i="2" s="1"/>
  <c r="D10" i="2" s="1"/>
  <c r="D24" i="15" s="1"/>
  <c r="B8" i="16"/>
  <c r="C8" i="16" s="1"/>
  <c r="B13" i="16"/>
  <c r="C13" i="16" s="1"/>
  <c r="B12" i="16"/>
  <c r="C12" i="16" s="1"/>
  <c r="B14" i="16"/>
  <c r="C14" i="16" s="1"/>
  <c r="B9" i="16"/>
  <c r="C9" i="16" s="1"/>
  <c r="B7" i="16"/>
  <c r="C7" i="16" s="1"/>
  <c r="B26" i="12"/>
  <c r="B30" i="12" s="1"/>
  <c r="D26" i="12"/>
  <c r="D14" i="15" s="1"/>
  <c r="B6" i="16"/>
  <c r="C6" i="16" s="1"/>
  <c r="B10" i="16"/>
  <c r="C10" i="16" s="1"/>
  <c r="B11" i="16"/>
  <c r="C11" i="16" s="1"/>
  <c r="F26" i="12"/>
  <c r="F30" i="12" s="1"/>
  <c r="B15" i="16"/>
  <c r="C15" i="16" s="1"/>
  <c r="F8" i="12"/>
  <c r="D4" i="15" a="1"/>
  <c r="D4" i="15" s="1"/>
  <c r="D20" i="15" s="1"/>
  <c r="B19" i="16" l="1"/>
  <c r="C19" i="16"/>
  <c r="D21" i="2"/>
  <c r="D22" i="15" s="1"/>
  <c r="D26" i="15"/>
  <c r="D12" i="15"/>
  <c r="D16" i="15"/>
  <c r="D30" i="12"/>
  <c r="B7" i="2" a="1"/>
  <c r="B7" i="2" s="1"/>
  <c r="B4" i="15" a="1"/>
  <c r="B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Robb Luther</author>
  </authors>
  <commentList>
    <comment ref="B10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Robb Luther:
The campaign Budget is the amount of money you will be spending on a particular campaign. This can be campaign-specific,or you can enter your overall marketing budget.</t>
        </r>
      </text>
    </comment>
    <comment ref="D1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Robb Luther:
Your Metric is the objective of the campaign: Goal Completions, Website Orders, MQLs, SQLs, etc.
BLAINE: If my Goal Calculator worksheet note is accurate, this number would be 370, and the "Value per Opportunity" would be $1365. BUT...
The reality is that, per the Goal Calculator, we only need to generate 95 new opportunities this year. Therefore, the cost-per-opportunity is $45,000/95 = $473.68 for the current year.</t>
        </r>
      </text>
    </comment>
    <comment ref="D1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Robb Luther:
The Metric Close Rate is the percent of goal actions it takes to generate revenue or a sale.  For ecommerce, you should use your checkout conversion rate.</t>
        </r>
      </text>
    </comment>
    <comment ref="D16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Robb Luther:
What is the avarage order size of the campaign's most likely customer.</t>
        </r>
      </text>
    </comment>
    <comment ref="D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Robb Luther:</t>
        </r>
        <r>
          <rPr>
            <sz val="9"/>
            <color indexed="81"/>
            <rFont val="Tahoma"/>
            <family val="2"/>
          </rPr>
          <t xml:space="preserve">
Average Margin is the Percent difference in the purchase or maufacture price vs the selling price. </t>
        </r>
      </text>
    </comment>
    <comment ref="D21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Robb Luther:
This is the cost of each marketing metric: Session, MQL, SQL, etc.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<sst xmlns="http://schemas.openxmlformats.org/spreadsheetml/2006/main" count="101" uniqueCount="93">
  <si>
    <t>User Inputs for ROI Report Building</t>
  </si>
  <si>
    <t>This Year's Total Revenue Goal</t>
  </si>
  <si>
    <t>Previous Year's Annual Revenue</t>
  </si>
  <si>
    <t>Close Rate</t>
  </si>
  <si>
    <t>Expected Revenue Renewal %</t>
  </si>
  <si>
    <t>Average Margin</t>
  </si>
  <si>
    <t>Marketing Budget as % of Sales*</t>
  </si>
  <si>
    <t>Current Monthly Opportunities</t>
  </si>
  <si>
    <t>* Budget Guidance</t>
  </si>
  <si>
    <t>12% - Run</t>
  </si>
  <si>
    <t>9% - Jog</t>
  </si>
  <si>
    <t>6% - Walk</t>
  </si>
  <si>
    <t>Marketing ROI Projection Report</t>
  </si>
  <si>
    <t>Marketing Trend Goals</t>
  </si>
  <si>
    <t>Revenue Goal - Projected</t>
  </si>
  <si>
    <t>New Sales Needed</t>
  </si>
  <si>
    <t>Expected Revenue from Last Year:</t>
  </si>
  <si>
    <t>New Opportunities Needed to Hit Goal:</t>
  </si>
  <si>
    <t>New Opportunity Objectives</t>
  </si>
  <si>
    <t>Monthly:</t>
  </si>
  <si>
    <t>Weekly:</t>
  </si>
  <si>
    <t>Daily:</t>
  </si>
  <si>
    <t>Marketing Budget:</t>
  </si>
  <si>
    <t>New Marketing Revenue:</t>
  </si>
  <si>
    <t>Cost Per Opportunity:</t>
  </si>
  <si>
    <t>Net Value Per Opportunity:</t>
  </si>
  <si>
    <t>Marketing ROI:</t>
  </si>
  <si>
    <t>Account Management</t>
  </si>
  <si>
    <t>SEM</t>
  </si>
  <si>
    <t>SEO</t>
  </si>
  <si>
    <t>GDD</t>
  </si>
  <si>
    <t>Projected Revenue</t>
  </si>
  <si>
    <t>Metric to Move</t>
  </si>
  <si>
    <t>Opportunities</t>
  </si>
  <si>
    <t>Sessions</t>
  </si>
  <si>
    <t>Leads</t>
  </si>
  <si>
    <t>MQLs</t>
  </si>
  <si>
    <t>SQLs</t>
  </si>
  <si>
    <t>Checkouts</t>
  </si>
  <si>
    <t>Customers</t>
  </si>
  <si>
    <t>Have Questions?  Schedule a 15 Minute Call</t>
  </si>
  <si>
    <t>Start</t>
  </si>
  <si>
    <t>Goal</t>
  </si>
  <si>
    <t>Growth</t>
  </si>
  <si>
    <t>Month</t>
  </si>
  <si>
    <t>New Sales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</si>
  <si>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</si>
  <si>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</si>
  <si>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</si>
  <si>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</si>
  <si>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</si>
  <si>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</si>
  <si>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</si>
  <si>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</si>
  <si>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</si>
  <si>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</si>
  <si>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</si>
  <si>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</si>
  <si>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Try to accurately enter your average order value and your conversion rate. Then enter your goal amount. This will calculate your lead objectives to reach your goal.</t>
  </si>
  <si>
    <t>Marketing Budget as % of Sales Revenue</t>
  </si>
  <si>
    <t>Walk</t>
  </si>
  <si>
    <t>Jog</t>
  </si>
  <si>
    <t>Run</t>
  </si>
  <si>
    <t>Sales Goal</t>
  </si>
  <si>
    <t>Marketing ROI</t>
  </si>
  <si>
    <t>Marketing Budget</t>
  </si>
  <si>
    <t>Average Sale Amount</t>
  </si>
  <si>
    <t>PIC's Awesome Tool : URL Tracking Tool.</t>
  </si>
  <si>
    <t>Don't use Spaces!  Or weird characters.  Just stick to the ABC's &amp; 123's.  
Maybe an Underscore or a Dash here and there.</t>
  </si>
  <si>
    <t>Campaign Name</t>
  </si>
  <si>
    <t>This might be the name of an email blast, Product promotion or any marketing activity you want to track</t>
  </si>
  <si>
    <t>What Website URL do you want to track?</t>
  </si>
  <si>
    <t>This is the landing page you are pushing your campaign visitors to.</t>
  </si>
  <si>
    <t>What is the Source?</t>
  </si>
  <si>
    <t>This is the source of the visitor.  Newsletter, Adwords, City Search, or other specific source of traffic you are using for your landing page.</t>
  </si>
  <si>
    <t>What is the Medium?</t>
  </si>
  <si>
    <t>This could be Email, PPC, Banner.</t>
  </si>
  <si>
    <t>Is there a Term?</t>
  </si>
  <si>
    <t>We can get specific here. If tracking AdCenter ads, we can use this for the exact key term.</t>
  </si>
  <si>
    <t>Specific Content Identifiers?</t>
  </si>
  <si>
    <t>If you are A/B testing ads, you can name your variations with this.</t>
  </si>
  <si>
    <t>Copy this URL for your Link --&gt;</t>
  </si>
  <si>
    <t>This is the new and improved Uber URL you can use for your marketing campaign!</t>
  </si>
  <si>
    <t>PIC's Hero Builder - Better understand your Ideal Customer</t>
  </si>
  <si>
    <t>https://walkwithpic.typeform.com/hero-builder</t>
  </si>
  <si>
    <t>Marketing Qualified Lead Cost &amp; Value - Why It Matters</t>
  </si>
  <si>
    <t>https://www.walkwithpic.com/blog/marketing-qualified-lead-cost-value</t>
  </si>
  <si>
    <t>Conversion Tracking - Why You Need More Conversion Opportunities</t>
  </si>
  <si>
    <t>https://www.walkwithpic.com/blog/conversion-tracking-are-you-doing-enough</t>
  </si>
  <si>
    <t>HubSpot Marketing Certifications</t>
  </si>
  <si>
    <t>https://academy.hubspot.com/certification</t>
  </si>
  <si>
    <t>View a HubSpot Demo Video</t>
  </si>
  <si>
    <t>https://offers.hubspot.com/demo-video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</si>
</sst>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sz val="12"/>
      <color theme="1"/>
      <name val="Open Sans"/>
      <family val="2"/>
    </font>
    <font>
      <sz val="11"/>
      <color theme="2" tint="-0.749992370372631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2"/>
      <name val="Lato"/>
      <family val="2"/>
    </font>
    <font>
      <u/>
      <sz val="11"/>
      <name val="Lato"/>
      <family val="2"/>
    </font>
    <font>
      <sz val="11"/>
      <color theme="1"/>
      <name val="Lato"/>
      <family val="2"/>
    </font>
    <font>
      <b/>
      <sz val="12"/>
      <color theme="1"/>
      <name val="Lato"/>
      <family val="2"/>
    </font>
    <font>
      <b/>
      <sz val="14"/>
      <color theme="1"/>
      <name val="Lato"/>
      <family val="2"/>
    </font>
    <font>
      <b/>
      <sz val="11"/>
      <color theme="1"/>
      <name val="Lato"/>
      <family val="2"/>
    </font>
    <font>
      <b/>
      <u/>
      <sz val="16"/>
      <color rgb="FF000000"/>
      <name val="Arial"/>
      <family val="2"/>
    </font>
    <font>
      <b/>
      <u/>
      <sz val="16"/>
      <color theme="0"/>
      <name val="Arial"/>
      <family val="2"/>
    </font>
    <font>
      <sz val="11"/>
      <color theme="1"/>
      <name val="Open Sans"/>
    </font>
    <font>
      <sz val="12"/>
      <color theme="1"/>
      <name val="Open Sans"/>
    </font>
    <font>
      <sz val="11"/>
      <color theme="0"/>
      <name val="Open Sans"/>
      <family val="2"/>
    </font>
    <font>
      <sz val="12"/>
      <color theme="1"/>
      <name val="Lato"/>
      <family val="2"/>
    </font>
    <font>
      <sz val="11"/>
      <color theme="1"/>
      <name val="Lato Black"/>
      <family val="2"/>
    </font>
    <font>
      <sz val="11"/>
      <color theme="0" tint="-4.9989318521683403E-2"/>
      <name val="Lato"/>
      <family val="2"/>
    </font>
    <font>
      <sz val="14"/>
      <color theme="1"/>
      <name val="Lato Black"/>
      <family val="2"/>
    </font>
    <font>
      <sz val="18"/>
      <color theme="1"/>
      <name val="Lato Black"/>
      <family val="2"/>
    </font>
    <font>
      <b/>
      <sz val="11"/>
      <color theme="0"/>
      <name val="Lato"/>
      <family val="2"/>
    </font>
    <font>
      <b/>
      <sz val="18"/>
      <color theme="0"/>
      <name val="Lato Black"/>
      <family val="2"/>
    </font>
    <font>
      <i/>
      <sz val="11"/>
      <color theme="0" tint="-0.499984740745262"/>
      <name val="Lato"/>
      <family val="2"/>
    </font>
    <font>
      <u/>
      <sz val="11"/>
      <color theme="10"/>
      <name val="Lato"/>
      <family val="2"/>
    </font>
    <font>
      <sz val="11"/>
      <name val="Lato"/>
      <family val="2"/>
    </font>
    <font>
      <sz val="22"/>
      <color theme="1"/>
      <name val="Lato Black"/>
      <family val="2"/>
    </font>
    <font>
      <sz val="14"/>
      <color theme="0"/>
      <name val="Lato Black"/>
      <family val="2"/>
    </font>
    <font>
      <sz val="12"/>
      <color theme="1"/>
      <name val="Lato Black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21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43" fontId="3" fillId="4" borderId="2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4" fontId="3" fillId="2" borderId="2" xfId="2" applyFont="1" applyFill="1" applyBorder="1" applyAlignment="1">
      <alignment horizontal="center" vertical="center"/>
    </xf>
    <xf numFmtId="10" fontId="3" fillId="3" borderId="1" xfId="3" applyNumberFormat="1" applyFont="1" applyFill="1" applyBorder="1" applyAlignment="1" applyProtection="1">
      <alignment horizontal="right"/>
      <protection locked="0"/>
    </xf>
    <xf numFmtId="8" fontId="3" fillId="2" borderId="0" xfId="0" applyNumberFormat="1" applyFont="1" applyFill="1"/>
    <xf numFmtId="44" fontId="5" fillId="5" borderId="1" xfId="2" applyFont="1" applyFill="1" applyBorder="1" applyAlignment="1">
      <alignment horizontal="center"/>
    </xf>
    <xf numFmtId="0" fontId="8" fillId="2" borderId="0" xfId="4" applyFont="1" applyFill="1"/>
    <xf numFmtId="0" fontId="9" fillId="2" borderId="0" xfId="0" applyFont="1" applyFill="1"/>
    <xf numFmtId="0" fontId="10" fillId="2" borderId="0" xfId="4" applyFont="1" applyFill="1"/>
    <xf numFmtId="0" fontId="11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Alignment="1">
      <alignment horizontal="right" vertical="center"/>
    </xf>
    <xf numFmtId="44" fontId="11" fillId="3" borderId="1" xfId="6" applyFont="1" applyFill="1" applyBorder="1" applyAlignment="1" applyProtection="1">
      <alignment horizontal="center" vertical="center"/>
      <protection locked="0"/>
    </xf>
    <xf numFmtId="0" fontId="11" fillId="8" borderId="3" xfId="5" applyFont="1" applyFill="1" applyBorder="1" applyAlignment="1">
      <alignment horizontal="center" vertical="center"/>
    </xf>
    <xf numFmtId="164" fontId="11" fillId="2" borderId="0" xfId="5" applyNumberFormat="1" applyFont="1" applyFill="1" applyAlignment="1">
      <alignment vertical="center"/>
    </xf>
    <xf numFmtId="44" fontId="11" fillId="2" borderId="0" xfId="6" applyFont="1" applyFill="1" applyBorder="1" applyAlignment="1" applyProtection="1">
      <alignment horizontal="center" vertical="center"/>
      <protection locked="0"/>
    </xf>
    <xf numFmtId="44" fontId="11" fillId="2" borderId="0" xfId="5" applyNumberFormat="1" applyFont="1" applyFill="1" applyAlignment="1">
      <alignment vertical="center"/>
    </xf>
    <xf numFmtId="164" fontId="11" fillId="2" borderId="0" xfId="7" applyNumberFormat="1" applyFont="1" applyFill="1" applyAlignment="1">
      <alignment vertical="center"/>
    </xf>
    <xf numFmtId="10" fontId="11" fillId="3" borderId="1" xfId="8" applyNumberFormat="1" applyFont="1" applyFill="1" applyBorder="1" applyAlignment="1" applyProtection="1">
      <alignment horizontal="center" vertical="center"/>
      <protection locked="0"/>
    </xf>
    <xf numFmtId="43" fontId="11" fillId="2" borderId="0" xfId="7" applyFont="1" applyFill="1" applyAlignment="1">
      <alignment vertical="center"/>
    </xf>
    <xf numFmtId="164" fontId="11" fillId="2" borderId="0" xfId="7" applyNumberFormat="1" applyFont="1" applyFill="1" applyAlignment="1">
      <alignment horizontal="center" vertical="center"/>
    </xf>
    <xf numFmtId="1" fontId="11" fillId="2" borderId="0" xfId="5" applyNumberFormat="1" applyFont="1" applyFill="1" applyAlignment="1">
      <alignment vertical="center"/>
    </xf>
    <xf numFmtId="164" fontId="11" fillId="4" borderId="9" xfId="7" applyNumberFormat="1" applyFont="1" applyFill="1" applyBorder="1" applyAlignment="1">
      <alignment horizontal="center" vertical="center"/>
    </xf>
    <xf numFmtId="164" fontId="11" fillId="2" borderId="0" xfId="7" applyNumberFormat="1" applyFont="1" applyFill="1" applyBorder="1" applyAlignment="1">
      <alignment horizontal="center" vertical="center"/>
    </xf>
    <xf numFmtId="164" fontId="11" fillId="4" borderId="5" xfId="7" applyNumberFormat="1" applyFont="1" applyFill="1" applyBorder="1" applyAlignment="1">
      <alignment horizontal="center" vertical="center"/>
    </xf>
    <xf numFmtId="164" fontId="11" fillId="4" borderId="10" xfId="7" applyNumberFormat="1" applyFont="1" applyFill="1" applyBorder="1" applyAlignment="1">
      <alignment horizontal="center" vertical="center"/>
    </xf>
    <xf numFmtId="43" fontId="11" fillId="2" borderId="0" xfId="5" applyNumberFormat="1" applyFont="1" applyFill="1" applyAlignment="1">
      <alignment vertical="center"/>
    </xf>
    <xf numFmtId="1" fontId="11" fillId="2" borderId="11" xfId="7" applyNumberFormat="1" applyFont="1" applyFill="1" applyBorder="1" applyAlignment="1">
      <alignment horizontal="center" vertical="center"/>
    </xf>
    <xf numFmtId="164" fontId="11" fillId="2" borderId="12" xfId="7" applyNumberFormat="1" applyFont="1" applyFill="1" applyBorder="1" applyAlignment="1">
      <alignment horizontal="center" vertical="center"/>
    </xf>
    <xf numFmtId="1" fontId="11" fillId="2" borderId="13" xfId="7" applyNumberFormat="1" applyFont="1" applyFill="1" applyBorder="1" applyAlignment="1">
      <alignment horizontal="center" vertical="center"/>
    </xf>
    <xf numFmtId="1" fontId="11" fillId="2" borderId="14" xfId="7" applyNumberFormat="1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vertical="center"/>
    </xf>
    <xf numFmtId="0" fontId="2" fillId="2" borderId="0" xfId="4" applyFill="1"/>
    <xf numFmtId="164" fontId="3" fillId="9" borderId="1" xfId="1" applyNumberFormat="1" applyFont="1" applyFill="1" applyBorder="1" applyAlignment="1" applyProtection="1">
      <alignment horizontal="center"/>
      <protection locked="0"/>
    </xf>
    <xf numFmtId="10" fontId="3" fillId="9" borderId="1" xfId="3" applyNumberFormat="1" applyFont="1" applyFill="1" applyBorder="1" applyAlignment="1" applyProtection="1">
      <alignment horizontal="right"/>
      <protection locked="0"/>
    </xf>
    <xf numFmtId="44" fontId="3" fillId="9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43" fontId="17" fillId="4" borderId="2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9" fontId="11" fillId="3" borderId="1" xfId="5" applyNumberFormat="1" applyFont="1" applyFill="1" applyBorder="1" applyAlignment="1">
      <alignment horizontal="center" vertical="center"/>
    </xf>
    <xf numFmtId="7" fontId="11" fillId="9" borderId="1" xfId="7" applyNumberFormat="1" applyFont="1" applyFill="1" applyBorder="1" applyAlignment="1" applyProtection="1">
      <alignment horizontal="right" vertical="center"/>
    </xf>
    <xf numFmtId="37" fontId="11" fillId="9" borderId="1" xfId="5" applyNumberFormat="1" applyFont="1" applyFill="1" applyBorder="1" applyAlignment="1">
      <alignment vertical="center"/>
    </xf>
    <xf numFmtId="44" fontId="3" fillId="9" borderId="2" xfId="2" applyFont="1" applyFill="1" applyBorder="1" applyAlignment="1">
      <alignment horizontal="center" vertical="center"/>
    </xf>
    <xf numFmtId="44" fontId="17" fillId="9" borderId="2" xfId="2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9" fontId="18" fillId="9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9" fontId="4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19" fillId="2" borderId="0" xfId="0" applyFont="1" applyFill="1"/>
    <xf numFmtId="0" fontId="20" fillId="12" borderId="0" xfId="5" applyFont="1" applyFill="1" applyAlignment="1">
      <alignment horizontal="right" vertical="center"/>
    </xf>
    <xf numFmtId="0" fontId="20" fillId="12" borderId="0" xfId="0" applyFont="1" applyFill="1" applyAlignment="1">
      <alignment horizontal="right"/>
    </xf>
    <xf numFmtId="0" fontId="21" fillId="13" borderId="2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44" fontId="24" fillId="3" borderId="2" xfId="2" applyFont="1" applyFill="1" applyBorder="1" applyAlignment="1">
      <alignment vertical="center"/>
    </xf>
    <xf numFmtId="0" fontId="24" fillId="12" borderId="0" xfId="0" applyFont="1" applyFill="1" applyAlignment="1">
      <alignment vertical="center"/>
    </xf>
    <xf numFmtId="37" fontId="24" fillId="3" borderId="2" xfId="0" applyNumberFormat="1" applyFont="1" applyFill="1" applyBorder="1" applyAlignment="1">
      <alignment horizontal="center" vertical="center"/>
    </xf>
    <xf numFmtId="0" fontId="22" fillId="12" borderId="0" xfId="0" applyFont="1" applyFill="1" applyAlignment="1">
      <alignment vertical="center"/>
    </xf>
    <xf numFmtId="0" fontId="11" fillId="12" borderId="0" xfId="0" applyFont="1" applyFill="1" applyAlignment="1">
      <alignment horizontal="right" vertical="center"/>
    </xf>
    <xf numFmtId="7" fontId="11" fillId="12" borderId="0" xfId="0" applyNumberFormat="1" applyFont="1" applyFill="1" applyAlignment="1">
      <alignment vertical="center"/>
    </xf>
    <xf numFmtId="0" fontId="23" fillId="8" borderId="18" xfId="0" applyFont="1" applyFill="1" applyBorder="1" applyAlignment="1">
      <alignment horizontal="right" vertical="center"/>
    </xf>
    <xf numFmtId="0" fontId="23" fillId="8" borderId="19" xfId="0" applyFont="1" applyFill="1" applyBorder="1" applyAlignment="1">
      <alignment vertical="center"/>
    </xf>
    <xf numFmtId="44" fontId="23" fillId="8" borderId="20" xfId="0" applyNumberFormat="1" applyFont="1" applyFill="1" applyBorder="1" applyAlignment="1">
      <alignment vertical="center"/>
    </xf>
    <xf numFmtId="44" fontId="25" fillId="14" borderId="1" xfId="2" applyFont="1" applyFill="1" applyBorder="1" applyAlignment="1">
      <alignment horizontal="left" vertical="center"/>
    </xf>
    <xf numFmtId="44" fontId="14" fillId="3" borderId="1" xfId="2" applyFont="1" applyFill="1" applyBorder="1" applyAlignment="1">
      <alignment horizontal="left" vertical="center"/>
    </xf>
    <xf numFmtId="0" fontId="14" fillId="12" borderId="18" xfId="0" applyFont="1" applyFill="1" applyBorder="1" applyAlignment="1">
      <alignment horizontal="right" vertical="center"/>
    </xf>
    <xf numFmtId="0" fontId="14" fillId="12" borderId="19" xfId="0" applyFont="1" applyFill="1" applyBorder="1" applyAlignment="1">
      <alignment vertical="center"/>
    </xf>
    <xf numFmtId="44" fontId="26" fillId="15" borderId="20" xfId="2" applyFont="1" applyFill="1" applyBorder="1" applyAlignment="1">
      <alignment horizontal="left" vertical="center"/>
    </xf>
    <xf numFmtId="0" fontId="20" fillId="12" borderId="0" xfId="0" applyFont="1" applyFill="1" applyAlignment="1">
      <alignment vertical="center"/>
    </xf>
    <xf numFmtId="44" fontId="20" fillId="9" borderId="12" xfId="2" applyFont="1" applyFill="1" applyBorder="1" applyAlignment="1">
      <alignment vertical="center"/>
    </xf>
    <xf numFmtId="9" fontId="20" fillId="9" borderId="12" xfId="3" applyFont="1" applyFill="1" applyBorder="1" applyAlignment="1">
      <alignment vertical="center"/>
    </xf>
    <xf numFmtId="0" fontId="20" fillId="12" borderId="0" xfId="0" applyFont="1" applyFill="1" applyAlignment="1">
      <alignment horizontal="right" vertical="center"/>
    </xf>
    <xf numFmtId="44" fontId="11" fillId="12" borderId="1" xfId="2" applyFont="1" applyFill="1" applyBorder="1" applyAlignment="1">
      <alignment vertical="center"/>
    </xf>
    <xf numFmtId="37" fontId="11" fillId="12" borderId="1" xfId="0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0" fontId="24" fillId="12" borderId="0" xfId="0" applyFont="1" applyFill="1" applyAlignment="1">
      <alignment horizontal="right" wrapText="1"/>
    </xf>
    <xf numFmtId="0" fontId="11" fillId="2" borderId="0" xfId="0" applyFont="1" applyFill="1"/>
    <xf numFmtId="0" fontId="27" fillId="2" borderId="0" xfId="0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right"/>
    </xf>
    <xf numFmtId="0" fontId="11" fillId="3" borderId="1" xfId="0" applyFont="1" applyFill="1" applyBorder="1" applyProtection="1">
      <protection locked="0"/>
    </xf>
    <xf numFmtId="0" fontId="28" fillId="3" borderId="1" xfId="4" applyFont="1" applyFill="1" applyBorder="1" applyProtection="1">
      <protection locked="0"/>
    </xf>
    <xf numFmtId="0" fontId="29" fillId="7" borderId="1" xfId="0" applyFont="1" applyFill="1" applyBorder="1"/>
    <xf numFmtId="0" fontId="14" fillId="12" borderId="0" xfId="0" applyFont="1" applyFill="1" applyAlignment="1">
      <alignment vertical="center"/>
    </xf>
    <xf numFmtId="164" fontId="20" fillId="9" borderId="12" xfId="1" applyNumberFormat="1" applyFont="1" applyFill="1" applyBorder="1" applyAlignment="1">
      <alignment vertical="center"/>
    </xf>
    <xf numFmtId="1" fontId="0" fillId="0" borderId="0" xfId="0" applyNumberFormat="1"/>
    <xf numFmtId="37" fontId="0" fillId="0" borderId="0" xfId="0" applyNumberFormat="1"/>
    <xf numFmtId="0" fontId="0" fillId="0" borderId="0" xfId="0" applyAlignment="1">
      <alignment horizontal="right"/>
    </xf>
    <xf numFmtId="44" fontId="0" fillId="0" borderId="0" xfId="2" applyFont="1"/>
    <xf numFmtId="166" fontId="0" fillId="0" borderId="0" xfId="2" applyNumberFormat="1" applyFont="1"/>
    <xf numFmtId="0" fontId="11" fillId="12" borderId="0" xfId="0" applyFont="1" applyFill="1"/>
    <xf numFmtId="166" fontId="0" fillId="0" borderId="0" xfId="0" applyNumberFormat="1"/>
    <xf numFmtId="0" fontId="31" fillId="16" borderId="18" xfId="0" applyFont="1" applyFill="1" applyBorder="1" applyAlignment="1">
      <alignment horizontal="right" vertical="center"/>
    </xf>
    <xf numFmtId="0" fontId="31" fillId="16" borderId="19" xfId="0" applyFont="1" applyFill="1" applyBorder="1" applyAlignment="1">
      <alignment vertical="center"/>
    </xf>
    <xf numFmtId="44" fontId="31" fillId="16" borderId="20" xfId="0" applyNumberFormat="1" applyFont="1" applyFill="1" applyBorder="1" applyAlignment="1">
      <alignment vertical="center"/>
    </xf>
    <xf numFmtId="9" fontId="0" fillId="0" borderId="0" xfId="3" applyFont="1"/>
    <xf numFmtId="0" fontId="32" fillId="12" borderId="12" xfId="0" applyFont="1" applyFill="1" applyBorder="1" applyAlignment="1">
      <alignment horizontal="center" vertical="center"/>
    </xf>
    <xf numFmtId="0" fontId="30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6" fillId="11" borderId="15" xfId="9" applyFont="1" applyFill="1" applyBorder="1" applyAlignment="1">
      <alignment horizontal="center" vertical="center"/>
    </xf>
    <xf numFmtId="0" fontId="16" fillId="11" borderId="16" xfId="9" applyFont="1" applyFill="1" applyBorder="1" applyAlignment="1">
      <alignment horizontal="center" vertical="center"/>
    </xf>
    <xf numFmtId="0" fontId="16" fillId="11" borderId="17" xfId="9" applyFont="1" applyFill="1" applyBorder="1" applyAlignment="1">
      <alignment horizontal="center" vertical="center"/>
    </xf>
    <xf numFmtId="37" fontId="12" fillId="2" borderId="4" xfId="7" applyNumberFormat="1" applyFont="1" applyFill="1" applyBorder="1" applyAlignment="1">
      <alignment horizontal="center" vertical="center"/>
    </xf>
    <xf numFmtId="37" fontId="12" fillId="2" borderId="5" xfId="7" applyNumberFormat="1" applyFont="1" applyFill="1" applyBorder="1" applyAlignment="1">
      <alignment horizontal="center" vertical="center"/>
    </xf>
    <xf numFmtId="165" fontId="12" fillId="2" borderId="4" xfId="6" applyNumberFormat="1" applyFont="1" applyFill="1" applyBorder="1" applyAlignment="1">
      <alignment horizontal="center" vertical="center"/>
    </xf>
    <xf numFmtId="165" fontId="12" fillId="2" borderId="5" xfId="6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 vertical="center"/>
    </xf>
    <xf numFmtId="0" fontId="13" fillId="2" borderId="5" xfId="5" applyFont="1" applyFill="1" applyBorder="1" applyAlignment="1">
      <alignment horizontal="center" vertical="center"/>
    </xf>
    <xf numFmtId="164" fontId="14" fillId="9" borderId="6" xfId="7" applyNumberFormat="1" applyFont="1" applyFill="1" applyBorder="1" applyAlignment="1">
      <alignment horizontal="center" vertical="center"/>
    </xf>
    <xf numFmtId="164" fontId="14" fillId="9" borderId="7" xfId="7" applyNumberFormat="1" applyFont="1" applyFill="1" applyBorder="1" applyAlignment="1">
      <alignment horizontal="center" vertical="center"/>
    </xf>
    <xf numFmtId="164" fontId="14" fillId="9" borderId="8" xfId="7" applyNumberFormat="1" applyFont="1" applyFill="1" applyBorder="1" applyAlignment="1">
      <alignment horizontal="center" vertical="center"/>
    </xf>
    <xf numFmtId="164" fontId="14" fillId="6" borderId="6" xfId="7" applyNumberFormat="1" applyFont="1" applyFill="1" applyBorder="1" applyAlignment="1">
      <alignment horizontal="center" vertical="center"/>
    </xf>
    <xf numFmtId="164" fontId="14" fillId="6" borderId="7" xfId="7" applyNumberFormat="1" applyFont="1" applyFill="1" applyBorder="1" applyAlignment="1">
      <alignment horizontal="center" vertical="center"/>
    </xf>
    <xf numFmtId="164" fontId="14" fillId="6" borderId="8" xfId="7" applyNumberFormat="1" applyFont="1" applyFill="1" applyBorder="1" applyAlignment="1">
      <alignment horizontal="center" vertical="center"/>
    </xf>
    <xf numFmtId="164" fontId="14" fillId="10" borderId="6" xfId="7" applyNumberFormat="1" applyFont="1" applyFill="1" applyBorder="1" applyAlignment="1">
      <alignment horizontal="center" vertical="center"/>
    </xf>
    <xf numFmtId="164" fontId="14" fillId="10" borderId="7" xfId="7" applyNumberFormat="1" applyFont="1" applyFill="1" applyBorder="1" applyAlignment="1">
      <alignment horizontal="center" vertical="center"/>
    </xf>
    <xf numFmtId="164" fontId="14" fillId="10" borderId="8" xfId="7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27" fillId="2" borderId="0" xfId="0" applyFont="1" applyFill="1" applyAlignment="1" applyProtection="1">
      <alignment horizontal="center" vertical="top" wrapText="1"/>
      <protection locked="0"/>
    </xf>
  </cellXfs>
  <cellStyles count="10">
    <cellStyle name="Comma" xfId="1" builtinId="3"/>
    <cellStyle name="Comma 2" xfId="7" xr:uid="{7D37E303-8087-4A4E-B62A-E08F6209A2C3}"/>
    <cellStyle name="Currency" xfId="2" builtinId="4"/>
    <cellStyle name="Currency 2" xfId="6" xr:uid="{AC522BD7-4471-49B6-9D04-436233004F45}"/>
    <cellStyle name="Hyperlink" xfId="4" builtinId="8"/>
    <cellStyle name="Hyperlink 2" xfId="9" xr:uid="{99050C76-17AE-4DE0-8E71-CFBFCE255F3A}"/>
    <cellStyle name="Normal" xfId="0" builtinId="0"/>
    <cellStyle name="Normal 4" xfId="5" xr:uid="{AB21057A-DE97-4D7B-9DFC-FFD7EA801031}"/>
    <cellStyle name="Percent" xfId="3" builtinId="5"/>
    <cellStyle name="Percent 2" xfId="8" xr:uid="{B80495A9-0140-425B-8A21-BFFF878C55D4}"/>
  </cellStyles>
  <dxfs count="0"/>
  <tableStyles count="0" defaultTableStyle="TableStyleMedium2" defaultPivotStyle="PivotStyleLight16"/>
  <colors>
    <mruColors>
      <color rgb="FFF72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Opportunities Generated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Opp Goals'!$A$5:$A$16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'Monthly Opp Goals'!$B$5:$B$16</c:f>
              <c:numCache>
                <c:formatCode>0</c:formatCode>
                <c:ptCount val="12"/>
                <c:pt idx="0" formatCode="General">
                  <c:v>1</c:v>
                </c:pt>
                <c:pt idx="1">
                  <c:v>1.2727272727272727</c:v>
                </c:pt>
                <c:pt idx="2">
                  <c:v>1.5454545454545454</c:v>
                </c:pt>
                <c:pt idx="3">
                  <c:v>1.8181818181818181</c:v>
                </c:pt>
                <c:pt idx="4">
                  <c:v>2.0909090909090908</c:v>
                </c:pt>
                <c:pt idx="5">
                  <c:v>2.3636363636363633</c:v>
                </c:pt>
                <c:pt idx="6">
                  <c:v>2.6363636363636362</c:v>
                </c:pt>
                <c:pt idx="7">
                  <c:v>2.9090909090909092</c:v>
                </c:pt>
                <c:pt idx="8">
                  <c:v>3.1818181818181817</c:v>
                </c:pt>
                <c:pt idx="9">
                  <c:v>3.4545454545454541</c:v>
                </c:pt>
                <c:pt idx="10">
                  <c:v>3.7272727272727271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955-83DD-DDE5D88C4C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1112640"/>
        <c:axId val="4311121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'Monthly Opp Goals'!$C$4</c15:sqref>
                        </c15:formulaRef>
                      </c:ext>
                    </c:extLst>
                    <c:strCache>
                      <c:ptCount val="1"/>
                      <c:pt idx="0">
                        <c:v>New Sales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'Monthly Opp Goals'!$A$5:$A$16</c15:sqref>
                        </c15:formulaRef>
                      </c:ext>
                    </c:extLst>
                    <c:strCache>
                      <c:ptCount val="12"/>
                      <c:pt idx="0">
                        <c:v>Month 1</c:v>
                      </c:pt>
                      <c:pt idx="1">
                        <c:v>Month 2</c:v>
                      </c:pt>
                      <c:pt idx="2">
                        <c:v>Month 3</c:v>
                      </c:pt>
                      <c:pt idx="3">
                        <c:v>Month 4</c:v>
                      </c:pt>
                      <c:pt idx="4">
                        <c:v>Month 5</c:v>
                      </c:pt>
                      <c:pt idx="5">
                        <c:v>Month 6</c:v>
                      </c:pt>
                      <c:pt idx="6">
                        <c:v>Month 7</c:v>
                      </c:pt>
                      <c:pt idx="7">
                        <c:v>Month 8</c:v>
                      </c:pt>
                      <c:pt idx="8">
                        <c:v>Month 9</c:v>
                      </c:pt>
                      <c:pt idx="9">
                        <c:v>Month 10</c:v>
                      </c:pt>
                      <c:pt idx="10">
                        <c:v>Month 11</c:v>
                      </c:pt>
                      <c:pt idx="11">
                        <c:v>Month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'Monthly Opp Goals'!$C$5:$C$16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2"/>
                      <c:pt idx="0">
                        <c:v>16500</c:v>
                      </c:pt>
                      <c:pt idx="1">
                        <c:v>21000</c:v>
                      </c:pt>
                      <c:pt idx="2">
                        <c:v>25500</c:v>
                      </c:pt>
                      <c:pt idx="3">
                        <c:v>30000</c:v>
                      </c:pt>
                      <c:pt idx="4">
                        <c:v>34500</c:v>
                      </c:pt>
                      <c:pt idx="5">
                        <c:v>39000</c:v>
                      </c:pt>
                      <c:pt idx="6">
                        <c:v>43500</c:v>
                      </c:pt>
                      <c:pt idx="7">
                        <c:v>48000</c:v>
                      </c:pt>
                      <c:pt idx="8">
                        <c:v>52500</c:v>
                      </c:pt>
                      <c:pt idx="9">
                        <c:v>57000</c:v>
                      </c:pt>
                      <c:pt idx="10">
                        <c:v>61500</c:v>
                      </c:pt>
                      <c:pt idx="11">
                        <c:v>66000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13-4955-83DD-DDE5D88C4C29}"/>
                  </c:ext>
                </c:extLst>
              </c15:ser>
            </c15:filteredBarSeries>
          </c:ext>
        </c:extLst>
      </c:barChart>
      <c:catAx>
        <c:axId val="4311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431112160"/>
        <c:crosses val="autoZero"/>
        <c:auto val="1"/>
        <c:lblAlgn val="ctr"/>
        <c:lblOffset val="100"/>
        <c:noMultiLvlLbl val="0"/>
      </c:catAx>
      <c:valAx>
        <c:axId val="43111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4311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'Monthly Opp Goals'!$C$4</c:f>
              <c:strCache>
                <c:ptCount val="1"/>
                <c:pt idx="0">
                  <c:v>New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Opp Goals'!$A$5:$A$16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'Monthly Opp Goals'!$C$5:$C$16</c:f>
              <c:numCache>
                <c:formatCode>_("$"* #,##0_);_("$"* \(#,##0\);_("$"* "-"??_);_(@_)</c:formatCode>
                <c:ptCount val="12"/>
                <c:pt idx="0">
                  <c:v>16500</c:v>
                </c:pt>
                <c:pt idx="1">
                  <c:v>21000</c:v>
                </c:pt>
                <c:pt idx="2">
                  <c:v>25500</c:v>
                </c:pt>
                <c:pt idx="3">
                  <c:v>30000</c:v>
                </c:pt>
                <c:pt idx="4">
                  <c:v>34500</c:v>
                </c:pt>
                <c:pt idx="5">
                  <c:v>39000</c:v>
                </c:pt>
                <c:pt idx="6">
                  <c:v>43500</c:v>
                </c:pt>
                <c:pt idx="7">
                  <c:v>48000</c:v>
                </c:pt>
                <c:pt idx="8">
                  <c:v>52500</c:v>
                </c:pt>
                <c:pt idx="9">
                  <c:v>57000</c:v>
                </c:pt>
                <c:pt idx="10">
                  <c:v>61500</c:v>
                </c:pt>
                <c:pt idx="11">
                  <c:v>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D-4276-A45E-754487AD02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1112640"/>
        <c:axId val="431112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Opp Goals'!$B$4</c15:sqref>
                        </c15:formulaRef>
                      </c:ext>
                    </c:extLst>
                    <c:strCache>
                      <c:ptCount val="1"/>
                      <c:pt idx="0">
                        <c:v>Opportunities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'Monthly Opp Goals'!$A$5:$A$16</c15:sqref>
                        </c15:formulaRef>
                      </c:ext>
                    </c:extLst>
                    <c:strCache>
                      <c:ptCount val="12"/>
                      <c:pt idx="0">
                        <c:v>Month 1</c:v>
                      </c:pt>
                      <c:pt idx="1">
                        <c:v>Month 2</c:v>
                      </c:pt>
                      <c:pt idx="2">
                        <c:v>Month 3</c:v>
                      </c:pt>
                      <c:pt idx="3">
                        <c:v>Month 4</c:v>
                      </c:pt>
                      <c:pt idx="4">
                        <c:v>Month 5</c:v>
                      </c:pt>
                      <c:pt idx="5">
                        <c:v>Month 6</c:v>
                      </c:pt>
                      <c:pt idx="6">
                        <c:v>Month 7</c:v>
                      </c:pt>
                      <c:pt idx="7">
                        <c:v>Month 8</c:v>
                      </c:pt>
                      <c:pt idx="8">
                        <c:v>Month 9</c:v>
                      </c:pt>
                      <c:pt idx="9">
                        <c:v>Month 10</c:v>
                      </c:pt>
                      <c:pt idx="10">
                        <c:v>Month 11</c:v>
                      </c:pt>
                      <c:pt idx="11">
                        <c:v>Month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'Monthly Opp Goals'!$B$5:$B$16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1</c:v>
                      </c:pt>
                      <c:pt idx="1">
                        <c:v>1.2727272727272727</c:v>
                      </c:pt>
                      <c:pt idx="2">
                        <c:v>1.5454545454545454</c:v>
                      </c:pt>
                      <c:pt idx="3">
                        <c:v>1.8181818181818181</c:v>
                      </c:pt>
                      <c:pt idx="4">
                        <c:v>2.0909090909090908</c:v>
                      </c:pt>
                      <c:pt idx="5">
                        <c:v>2.3636363636363633</c:v>
                      </c:pt>
                      <c:pt idx="6">
                        <c:v>2.6363636363636362</c:v>
                      </c:pt>
                      <c:pt idx="7">
                        <c:v>2.9090909090909092</c:v>
                      </c:pt>
                      <c:pt idx="8">
                        <c:v>3.1818181818181817</c:v>
                      </c:pt>
                      <c:pt idx="9">
                        <c:v>3.4545454545454541</c:v>
                      </c:pt>
                      <c:pt idx="10">
                        <c:v>3.7272727272727271</c:v>
                      </c:pt>
                      <c:pt idx="11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5D-4276-A45E-754487AD028C}"/>
                  </c:ext>
                </c:extLst>
              </c15:ser>
            </c15:filteredBarSeries>
          </c:ext>
        </c:extLst>
      </c:barChart>
      <c:catAx>
        <c:axId val="4311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431112160"/>
        <c:crosses val="autoZero"/>
        <c:auto val="1"/>
        <c:lblAlgn val="ctr"/>
        <c:lblOffset val="100"/>
        <c:noMultiLvlLbl val="0"/>
      </c:catAx>
      <c:valAx>
        <c:axId val="43111216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4311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209550</xdr:rowOff>
    </xdr:from>
    <xdr:to>
      <xdr:col>3</xdr:col>
      <xdr:colOff>454</xdr:colOff>
      <xdr:row>0</xdr:row>
      <xdr:rowOff>734808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76AB5-6C1E-45E3-A8DC-58ABD288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209550"/>
          <a:ext cx="1229179" cy="525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0</xdr:row>
      <xdr:rowOff>152400</xdr:rowOff>
    </xdr:from>
    <xdr:to>
      <xdr:col>4</xdr:col>
      <xdr:colOff>60779</xdr:colOff>
      <xdr:row>0</xdr:row>
      <xdr:rowOff>677658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B836A-BE76-4648-8E04-DDD0F94E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52400"/>
          <a:ext cx="1229179" cy="525258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2</xdr:row>
      <xdr:rowOff>6350</xdr:rowOff>
    </xdr:from>
    <xdr:to>
      <xdr:col>18</xdr:col>
      <xdr:colOff>527050</xdr:colOff>
      <xdr:row>12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AB67F2-BE3A-18E1-36BA-1DC3CCDBC809}"/>
            </a:ext>
            <a:ext uri="{147F2762-F138-4A5C-976F-8EAC2B608ADB}">
              <a16:predDERef xmlns:a16="http://schemas.microsoft.com/office/drawing/2014/main" pred="{374B836A-BE76-4648-8E04-DDD0F94E3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13</xdr:row>
      <xdr:rowOff>107950</xdr:rowOff>
    </xdr:from>
    <xdr:to>
      <xdr:col>19</xdr:col>
      <xdr:colOff>0</xdr:colOff>
      <xdr:row>26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4E36C3-8345-4216-B06A-286763283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970642</xdr:colOff>
      <xdr:row>0</xdr:row>
      <xdr:rowOff>211682</xdr:rowOff>
    </xdr:from>
    <xdr:to>
      <xdr:col>5</xdr:col>
      <xdr:colOff>2133146</xdr:colOff>
      <xdr:row>1</xdr:row>
      <xdr:rowOff>42976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BDF78-D81C-4935-A230-5D6B1103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85" y="211682"/>
          <a:ext cx="1229179" cy="525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612775</xdr:colOff>
      <xdr:row>0</xdr:row>
      <xdr:rowOff>25400</xdr:rowOff>
    </xdr:from>
    <xdr:to>
      <xdr:col>4</xdr:col>
      <xdr:colOff>63753</xdr:colOff>
      <xdr:row>0</xdr:row>
      <xdr:rowOff>663575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D08FB87-B56D-4213-850E-9427A058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25400"/>
          <a:ext cx="1489328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7099300</xdr:colOff>
      <xdr:row>1</xdr:row>
      <xdr:rowOff>25400</xdr:rowOff>
    </xdr:from>
    <xdr:to>
      <xdr:col>3</xdr:col>
      <xdr:colOff>101600</xdr:colOff>
      <xdr:row>1</xdr:row>
      <xdr:rowOff>550658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B596F-D6F1-4635-9BC3-119611718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0700" y="203200"/>
          <a:ext cx="1447800" cy="525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lkwithpic.com/blog/conversion-tracking-are-you-doing-enough?utm_source=calculator&amp;utm_medium=contentoffer&amp;utm_term=&amp;utm_content=resourcetab&amp;utm_campaign=LeadValueCalculator" TargetMode="External"/><Relationship Id="rId2" Type="http://schemas.openxmlformats.org/officeDocument/2006/relationships/hyperlink" Target="https://www.walkwithpic.com/blog/marketing-qualified-lead-cost-value?utm_source=calculator&amp;utm_medium=contentoffer&amp;utm_term=&amp;utm_content=resourcetab&amp;utm_campaign=LeadValueCalculator" TargetMode="External"/><Relationship Id="rId1" Type="http://schemas.openxmlformats.org/officeDocument/2006/relationships/hyperlink" Target="https://walkwithpic.typeform.com/hero-builder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offers.hubspot.com/demo-video" TargetMode="External"/><Relationship Id="rId4" Type="http://schemas.openxmlformats.org/officeDocument/2006/relationships/hyperlink" Target="https://academy.hubspot.com/cert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CE9B-F684-4478-9100-0408CC21D446}">
  <dimension ref="A1:F21"/>
  <sheetViews>
    <sheetView tabSelected="1" workbookViewId="0">
      <selection activeCell="A2" sqref="A2"/>
    </sheetView>
  </sheetViews>
  <sheetFormatPr baseColWidth="10" defaultColWidth="8.6640625" defaultRowHeight="16" x14ac:dyDescent="0.2"/>
  <cols>
    <col min="1" max="1" width="39.33203125" style="75" customWidth="1"/>
    <col min="2" max="2" width="1.1640625" style="75" customWidth="1"/>
    <col min="3" max="3" width="27.6640625" style="75" customWidth="1"/>
    <col min="4" max="16384" width="8.6640625" style="75"/>
  </cols>
  <sheetData>
    <row r="1" spans="1:6" ht="65.5" customHeight="1" x14ac:dyDescent="0.25">
      <c r="A1" s="83" t="s">
        <v>0</v>
      </c>
    </row>
    <row r="2" spans="1:6" ht="12" customHeight="1" x14ac:dyDescent="0.2"/>
    <row r="3" spans="1:6" ht="17" thickBot="1" x14ac:dyDescent="0.25">
      <c r="A3" s="56" t="s">
        <v>1</v>
      </c>
      <c r="C3" s="76">
        <v>3300000</v>
      </c>
    </row>
    <row r="4" spans="1:6" ht="10" customHeight="1" x14ac:dyDescent="0.2">
      <c r="A4" s="56"/>
    </row>
    <row r="5" spans="1:6" ht="17" thickBot="1" x14ac:dyDescent="0.25">
      <c r="A5" s="56" t="s">
        <v>2</v>
      </c>
      <c r="C5" s="76">
        <v>3120000</v>
      </c>
    </row>
    <row r="6" spans="1:6" ht="10" customHeight="1" x14ac:dyDescent="0.2">
      <c r="A6" s="56"/>
    </row>
    <row r="7" spans="1:6" ht="17" thickBot="1" x14ac:dyDescent="0.25">
      <c r="A7" s="56" t="str">
        <f>CONCATENATE("Average Value of a Sale")</f>
        <v>Average Value of a Sale</v>
      </c>
      <c r="C7" s="76">
        <v>55000</v>
      </c>
    </row>
    <row r="8" spans="1:6" ht="10" customHeight="1" x14ac:dyDescent="0.2">
      <c r="A8" s="56"/>
    </row>
    <row r="9" spans="1:6" ht="17" thickBot="1" x14ac:dyDescent="0.25">
      <c r="A9" s="56" t="s">
        <v>3</v>
      </c>
      <c r="C9" s="77">
        <v>0.3</v>
      </c>
    </row>
    <row r="10" spans="1:6" ht="10" customHeight="1" x14ac:dyDescent="0.2">
      <c r="A10" s="56"/>
    </row>
    <row r="11" spans="1:6" ht="17" thickBot="1" x14ac:dyDescent="0.25">
      <c r="A11" s="56" t="s">
        <v>4</v>
      </c>
      <c r="C11" s="77">
        <v>0.9</v>
      </c>
    </row>
    <row r="12" spans="1:6" ht="10" customHeight="1" x14ac:dyDescent="0.2"/>
    <row r="13" spans="1:6" ht="17" thickBot="1" x14ac:dyDescent="0.25">
      <c r="A13" s="78" t="s">
        <v>5</v>
      </c>
      <c r="C13" s="77">
        <v>0.3</v>
      </c>
    </row>
    <row r="14" spans="1:6" ht="10" customHeight="1" x14ac:dyDescent="0.2"/>
    <row r="15" spans="1:6" ht="17" thickBot="1" x14ac:dyDescent="0.25">
      <c r="A15" s="78" t="s">
        <v>6</v>
      </c>
      <c r="C15" s="77">
        <v>0.02</v>
      </c>
      <c r="F15" s="57"/>
    </row>
    <row r="16" spans="1:6" ht="13" customHeight="1" x14ac:dyDescent="0.2"/>
    <row r="17" spans="1:3" ht="17" thickBot="1" x14ac:dyDescent="0.25">
      <c r="A17" s="78" t="s">
        <v>7</v>
      </c>
      <c r="C17" s="91">
        <v>1</v>
      </c>
    </row>
    <row r="19" spans="1:3" x14ac:dyDescent="0.2">
      <c r="A19" s="78" t="s">
        <v>8</v>
      </c>
      <c r="C19" s="75" t="s">
        <v>9</v>
      </c>
    </row>
    <row r="20" spans="1:3" x14ac:dyDescent="0.2">
      <c r="C20" s="75" t="s">
        <v>10</v>
      </c>
    </row>
    <row r="21" spans="1:3" x14ac:dyDescent="0.2">
      <c r="C21" s="75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4A5C-F7DE-4BC8-89EF-AE7E6A8EED3F}">
  <dimension ref="B1:S28"/>
  <sheetViews>
    <sheetView workbookViewId="0">
      <selection activeCell="D35" sqref="D35"/>
    </sheetView>
  </sheetViews>
  <sheetFormatPr baseColWidth="10" defaultColWidth="8.6640625" defaultRowHeight="14" x14ac:dyDescent="0.2"/>
  <cols>
    <col min="1" max="1" width="3.5" style="60" customWidth="1"/>
    <col min="2" max="2" width="36.83203125" style="60" customWidth="1"/>
    <col min="3" max="3" width="2" style="60" customWidth="1"/>
    <col min="4" max="4" width="36.83203125" style="60" customWidth="1"/>
    <col min="5" max="5" width="2.1640625" style="60" customWidth="1"/>
    <col min="6" max="6" width="2.5" style="60" customWidth="1"/>
    <col min="7" max="18" width="8.6640625" style="60"/>
    <col min="19" max="19" width="7.5" style="60" customWidth="1"/>
    <col min="20" max="16384" width="8.6640625" style="60"/>
  </cols>
  <sheetData>
    <row r="1" spans="2:19" ht="64" customHeight="1" x14ac:dyDescent="0.3">
      <c r="B1" s="83" t="s">
        <v>12</v>
      </c>
      <c r="C1" s="97"/>
      <c r="D1" s="97"/>
      <c r="E1" s="97"/>
      <c r="F1" s="97"/>
      <c r="G1" s="104" t="s">
        <v>13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2:19" ht="10" customHeight="1" x14ac:dyDescent="0.2"/>
    <row r="3" spans="2:19" x14ac:dyDescent="0.2">
      <c r="B3" s="58" t="s">
        <v>14</v>
      </c>
      <c r="C3" s="59"/>
      <c r="D3" s="58" t="s">
        <v>15</v>
      </c>
    </row>
    <row r="4" spans="2:19" ht="23" x14ac:dyDescent="0.2">
      <c r="B4" s="61" cm="1">
        <f t="array" ref="B4:B5">'Goal Calculator'!F8:F9</f>
        <v>3303000</v>
      </c>
      <c r="C4" s="62"/>
      <c r="D4" s="63" cm="1">
        <f t="array" ref="D4:D5">'Goal Calculator'!F4:F5</f>
        <v>9</v>
      </c>
    </row>
    <row r="5" spans="2:19" ht="12.5" customHeight="1" x14ac:dyDescent="0.2">
      <c r="B5" s="64">
        <v>0</v>
      </c>
      <c r="C5" s="64"/>
      <c r="D5" s="64">
        <v>0</v>
      </c>
    </row>
    <row r="6" spans="2:19" x14ac:dyDescent="0.2">
      <c r="B6" s="65" t="s">
        <v>16</v>
      </c>
      <c r="D6" s="79">
        <f>'Goal Calculator'!D13</f>
        <v>2808000</v>
      </c>
    </row>
    <row r="7" spans="2:19" x14ac:dyDescent="0.2">
      <c r="B7" s="65"/>
      <c r="D7" s="66"/>
    </row>
    <row r="8" spans="2:19" x14ac:dyDescent="0.2">
      <c r="B8" s="60" t="s">
        <v>17</v>
      </c>
      <c r="D8" s="80">
        <f>'Goal Calculator'!D15</f>
        <v>30</v>
      </c>
    </row>
    <row r="10" spans="2:19" ht="17" thickBot="1" x14ac:dyDescent="0.25">
      <c r="B10" s="103" t="s">
        <v>18</v>
      </c>
      <c r="C10" s="103"/>
      <c r="D10" s="103"/>
    </row>
    <row r="11" spans="2:19" ht="10" customHeight="1" x14ac:dyDescent="0.2"/>
    <row r="12" spans="2:19" x14ac:dyDescent="0.2">
      <c r="B12" s="65" t="s">
        <v>19</v>
      </c>
      <c r="D12" s="80">
        <f>'Goal Calculator'!B26</f>
        <v>2.5</v>
      </c>
    </row>
    <row r="13" spans="2:19" ht="10" customHeight="1" x14ac:dyDescent="0.2">
      <c r="B13" s="65"/>
      <c r="D13" s="81"/>
    </row>
    <row r="14" spans="2:19" x14ac:dyDescent="0.2">
      <c r="B14" s="65" t="s">
        <v>20</v>
      </c>
      <c r="D14" s="82">
        <f>'Goal Calculator'!D26</f>
        <v>0.57692307692307687</v>
      </c>
    </row>
    <row r="15" spans="2:19" ht="10" customHeight="1" x14ac:dyDescent="0.2">
      <c r="B15" s="65"/>
      <c r="D15" s="81"/>
    </row>
    <row r="16" spans="2:19" ht="18" customHeight="1" x14ac:dyDescent="0.2">
      <c r="B16" s="65" t="s">
        <v>21</v>
      </c>
      <c r="D16" s="80">
        <f>'Goal Calculator'!F26</f>
        <v>1</v>
      </c>
    </row>
    <row r="17" spans="2:6" ht="15" thickBot="1" x14ac:dyDescent="0.25"/>
    <row r="18" spans="2:6" ht="19" thickBot="1" x14ac:dyDescent="0.25">
      <c r="B18" s="67" t="s">
        <v>22</v>
      </c>
      <c r="C18" s="68"/>
      <c r="D18" s="69">
        <f>'Lead Value Sandbox'!B10</f>
        <v>62400</v>
      </c>
    </row>
    <row r="19" spans="2:6" ht="5" customHeight="1" thickBot="1" x14ac:dyDescent="0.25">
      <c r="B19" s="65"/>
    </row>
    <row r="20" spans="2:6" ht="19" thickBot="1" x14ac:dyDescent="0.25">
      <c r="B20" s="99" t="s">
        <v>23</v>
      </c>
      <c r="C20" s="100"/>
      <c r="D20" s="101">
        <f>D4*Inputs!C7</f>
        <v>495000</v>
      </c>
    </row>
    <row r="21" spans="2:6" x14ac:dyDescent="0.2">
      <c r="B21" s="65"/>
    </row>
    <row r="22" spans="2:6" x14ac:dyDescent="0.2">
      <c r="B22" s="65" t="s">
        <v>24</v>
      </c>
      <c r="D22" s="70">
        <f>'Lead Value Sandbox'!D21</f>
        <v>2080</v>
      </c>
      <c r="F22" s="90"/>
    </row>
    <row r="23" spans="2:6" x14ac:dyDescent="0.2">
      <c r="B23" s="65"/>
    </row>
    <row r="24" spans="2:6" x14ac:dyDescent="0.2">
      <c r="B24" s="65" t="s">
        <v>25</v>
      </c>
      <c r="D24" s="71">
        <f>'Lead Value Sandbox'!D10</f>
        <v>2870</v>
      </c>
    </row>
    <row r="25" spans="2:6" ht="15" thickBot="1" x14ac:dyDescent="0.25">
      <c r="B25" s="65"/>
    </row>
    <row r="26" spans="2:6" ht="24" thickBot="1" x14ac:dyDescent="0.25">
      <c r="B26" s="72" t="s">
        <v>26</v>
      </c>
      <c r="C26" s="73"/>
      <c r="D26" s="74">
        <f>'Lead Value Sandbox'!D7</f>
        <v>86100</v>
      </c>
    </row>
    <row r="27" spans="2:6" x14ac:dyDescent="0.2">
      <c r="B27" s="65"/>
    </row>
    <row r="28" spans="2:6" x14ac:dyDescent="0.2">
      <c r="B28" s="65"/>
    </row>
  </sheetData>
  <mergeCells count="2">
    <mergeCell ref="B10:D10"/>
    <mergeCell ref="G1:S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BD30-2431-47FB-BAC3-C552551FB7D6}">
  <dimension ref="A1:D9"/>
  <sheetViews>
    <sheetView workbookViewId="0">
      <selection activeCell="C6" sqref="C6"/>
    </sheetView>
  </sheetViews>
  <sheetFormatPr baseColWidth="10" defaultColWidth="8.83203125" defaultRowHeight="15" x14ac:dyDescent="0.2"/>
  <cols>
    <col min="1" max="1" width="21.5" customWidth="1"/>
    <col min="2" max="2" width="20.6640625" customWidth="1"/>
    <col min="3" max="3" width="26.5" customWidth="1"/>
    <col min="4" max="4" width="8.6640625" style="102"/>
  </cols>
  <sheetData>
    <row r="1" spans="1:4" ht="19" thickBot="1" x14ac:dyDescent="0.25">
      <c r="B1" s="69">
        <v>62400</v>
      </c>
    </row>
    <row r="2" spans="1:4" x14ac:dyDescent="0.2">
      <c r="B2" s="95">
        <f>660*12</f>
        <v>7920</v>
      </c>
      <c r="C2" t="s">
        <v>27</v>
      </c>
      <c r="D2" s="102">
        <f>B2/$B$1</f>
        <v>0.12692307692307692</v>
      </c>
    </row>
    <row r="3" spans="1:4" x14ac:dyDescent="0.2">
      <c r="B3" s="95">
        <f>(550*12)+(1500*12)</f>
        <v>24600</v>
      </c>
      <c r="C3" t="s">
        <v>28</v>
      </c>
      <c r="D3" s="102">
        <f>B3/$B$1</f>
        <v>0.39423076923076922</v>
      </c>
    </row>
    <row r="4" spans="1:4" x14ac:dyDescent="0.2">
      <c r="A4">
        <v>660</v>
      </c>
      <c r="B4">
        <v>14</v>
      </c>
      <c r="C4" t="s">
        <v>29</v>
      </c>
      <c r="D4" s="102">
        <f>B4*A4/$B$1</f>
        <v>0.14807692307692308</v>
      </c>
    </row>
    <row r="5" spans="1:4" x14ac:dyDescent="0.2">
      <c r="A5">
        <v>660</v>
      </c>
      <c r="B5">
        <v>20</v>
      </c>
      <c r="C5" t="s">
        <v>30</v>
      </c>
      <c r="D5" s="102">
        <f t="shared" ref="D5:D7" si="0">B5*A5/$B$1</f>
        <v>0.21153846153846154</v>
      </c>
    </row>
    <row r="6" spans="1:4" x14ac:dyDescent="0.2">
      <c r="A6">
        <v>660</v>
      </c>
      <c r="B6">
        <v>11</v>
      </c>
      <c r="D6" s="102">
        <f t="shared" si="0"/>
        <v>0.11634615384615385</v>
      </c>
    </row>
    <row r="7" spans="1:4" x14ac:dyDescent="0.2">
      <c r="A7">
        <v>660</v>
      </c>
      <c r="D7" s="102">
        <f t="shared" si="0"/>
        <v>0</v>
      </c>
    </row>
    <row r="9" spans="1:4" x14ac:dyDescent="0.2">
      <c r="D9" s="102">
        <f>SUM(D2:D7)</f>
        <v>0.99711538461538463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15A7-E2BF-4C75-94F8-672E7F1338B4}">
  <dimension ref="B1:R39"/>
  <sheetViews>
    <sheetView zoomScale="140" zoomScaleNormal="140" workbookViewId="0">
      <selection activeCell="F4" sqref="F4:F5"/>
    </sheetView>
  </sheetViews>
  <sheetFormatPr baseColWidth="10" defaultColWidth="9.1640625" defaultRowHeight="14" x14ac:dyDescent="0.2"/>
  <cols>
    <col min="1" max="1" width="4.5" style="14" customWidth="1"/>
    <col min="2" max="2" width="32" style="14" customWidth="1"/>
    <col min="3" max="3" width="2.1640625" style="14" customWidth="1"/>
    <col min="4" max="4" width="32" style="15" customWidth="1"/>
    <col min="5" max="5" width="2.1640625" style="14" customWidth="1"/>
    <col min="6" max="6" width="32" style="14" customWidth="1"/>
    <col min="7" max="9" width="9.1640625" style="14"/>
    <col min="10" max="10" width="10" style="14" bestFit="1" customWidth="1"/>
    <col min="11" max="14" width="9.1640625" style="14"/>
    <col min="15" max="15" width="38.5" style="14" customWidth="1"/>
    <col min="16" max="16" width="9.1640625" style="14"/>
    <col min="17" max="17" width="24.5" style="14" customWidth="1"/>
    <col min="18" max="16384" width="9.1640625" style="14"/>
  </cols>
  <sheetData>
    <row r="1" spans="2:18" ht="54.75" customHeight="1" x14ac:dyDescent="0.2"/>
    <row r="2" spans="2:18" ht="20.25" customHeight="1" x14ac:dyDescent="0.2"/>
    <row r="3" spans="2:18" ht="17.5" customHeight="1" x14ac:dyDescent="0.2">
      <c r="B3" s="16" t="s">
        <v>1</v>
      </c>
      <c r="D3" s="17">
        <f>Inputs!C3</f>
        <v>3300000</v>
      </c>
      <c r="F3" s="18" t="s">
        <v>15</v>
      </c>
      <c r="R3" s="19"/>
    </row>
    <row r="4" spans="2:18" ht="8.25" customHeight="1" x14ac:dyDescent="0.2">
      <c r="B4" s="16"/>
      <c r="D4" s="20"/>
      <c r="F4" s="109">
        <f>ROUNDUP(D15*D9, 0)</f>
        <v>9</v>
      </c>
    </row>
    <row r="5" spans="2:18" ht="17.5" customHeight="1" x14ac:dyDescent="0.2">
      <c r="B5" s="16" t="s">
        <v>2</v>
      </c>
      <c r="D5" s="17">
        <f>Inputs!C5</f>
        <v>3120000</v>
      </c>
      <c r="F5" s="110"/>
    </row>
    <row r="6" spans="2:18" ht="8.25" customHeight="1" x14ac:dyDescent="0.2">
      <c r="B6" s="16"/>
    </row>
    <row r="7" spans="2:18" ht="17.5" customHeight="1" x14ac:dyDescent="0.2">
      <c r="B7" s="16" t="str">
        <f>CONCATENATE("Average Value of a Sale")</f>
        <v>Average Value of a Sale</v>
      </c>
      <c r="D7" s="17">
        <f>Inputs!C7</f>
        <v>55000</v>
      </c>
      <c r="F7" s="18" t="s">
        <v>31</v>
      </c>
      <c r="Q7" s="21"/>
      <c r="R7" s="22"/>
    </row>
    <row r="8" spans="2:18" ht="9.75" customHeight="1" x14ac:dyDescent="0.2">
      <c r="B8" s="16"/>
      <c r="D8" s="20"/>
      <c r="F8" s="111">
        <f>(D7*F4)+D13</f>
        <v>3303000</v>
      </c>
    </row>
    <row r="9" spans="2:18" ht="17.5" customHeight="1" x14ac:dyDescent="0.2">
      <c r="B9" s="16" t="s">
        <v>3</v>
      </c>
      <c r="D9" s="23">
        <f>Inputs!C9</f>
        <v>0.3</v>
      </c>
      <c r="F9" s="112"/>
    </row>
    <row r="10" spans="2:18" ht="8.25" customHeight="1" x14ac:dyDescent="0.2">
      <c r="B10" s="16"/>
    </row>
    <row r="11" spans="2:18" ht="18" customHeight="1" x14ac:dyDescent="0.2">
      <c r="B11" s="16" t="s">
        <v>4</v>
      </c>
      <c r="D11" s="45">
        <f>Inputs!C11</f>
        <v>0.9</v>
      </c>
    </row>
    <row r="12" spans="2:18" ht="17.5" customHeight="1" x14ac:dyDescent="0.2">
      <c r="F12" s="18" t="s">
        <v>32</v>
      </c>
      <c r="J12" s="22"/>
      <c r="Q12" s="24"/>
    </row>
    <row r="13" spans="2:18" ht="22.5" customHeight="1" x14ac:dyDescent="0.2">
      <c r="B13" s="16" t="str">
        <f>CONCATENATE("Renewal Revenue ",F13)</f>
        <v>Renewal Revenue Opportunities</v>
      </c>
      <c r="D13" s="46">
        <f>(D5*D11)</f>
        <v>2808000</v>
      </c>
      <c r="F13" s="113" t="s">
        <v>33</v>
      </c>
    </row>
    <row r="14" spans="2:18" ht="11" customHeight="1" x14ac:dyDescent="0.2">
      <c r="B14" s="16"/>
      <c r="D14" s="25"/>
      <c r="F14" s="114"/>
      <c r="J14" s="26"/>
    </row>
    <row r="15" spans="2:18" ht="17.5" customHeight="1" x14ac:dyDescent="0.2">
      <c r="B15" s="16" t="str">
        <f>CONCATENATE(F13, " to Reach Goal")</f>
        <v>Opportunities to Reach Goal</v>
      </c>
      <c r="D15" s="47">
        <f>ROUNDUP(($D$3-$D$13)/$D$7/$D$9, 0)</f>
        <v>30</v>
      </c>
    </row>
    <row r="16" spans="2:18" ht="10" customHeight="1" x14ac:dyDescent="0.2">
      <c r="D16" s="14"/>
    </row>
    <row r="17" spans="2:10" ht="10" customHeight="1" x14ac:dyDescent="0.2">
      <c r="D17" s="14"/>
    </row>
    <row r="18" spans="2:10" ht="10" customHeight="1" x14ac:dyDescent="0.2">
      <c r="D18" s="14"/>
    </row>
    <row r="19" spans="2:10" ht="8" customHeight="1" thickBot="1" x14ac:dyDescent="0.25"/>
    <row r="20" spans="2:10" ht="18" customHeight="1" x14ac:dyDescent="0.2">
      <c r="B20" s="115" t="str">
        <f>CONCATENATE("Exisitng ",F13," from Previous Year")</f>
        <v>Exisitng Opportunities from Previous Year</v>
      </c>
      <c r="C20" s="116"/>
      <c r="D20" s="116"/>
      <c r="E20" s="116"/>
      <c r="F20" s="117"/>
      <c r="J20" s="24"/>
    </row>
    <row r="21" spans="2:10" ht="18" customHeight="1" x14ac:dyDescent="0.2">
      <c r="B21" s="27" t="str">
        <f>CONCATENATE(F$13," / Month")</f>
        <v>Opportunities / Month</v>
      </c>
      <c r="C21" s="28"/>
      <c r="D21" s="29" t="str">
        <f>CONCATENATE(F$13," / Week")</f>
        <v>Opportunities / Week</v>
      </c>
      <c r="E21" s="28"/>
      <c r="F21" s="30" t="str">
        <f>CONCATENATE(F$13," / Day")</f>
        <v>Opportunities / Day</v>
      </c>
      <c r="J21" s="31"/>
    </row>
    <row r="22" spans="2:10" ht="18" customHeight="1" thickBot="1" x14ac:dyDescent="0.25">
      <c r="B22" s="32">
        <f>IFERROR(($D$5/$D7)/12,"-")</f>
        <v>4.7272727272727275</v>
      </c>
      <c r="C22" s="33"/>
      <c r="D22" s="34">
        <f>IFERROR(($D$5/$D7)/52,"-")</f>
        <v>1.0909090909090908</v>
      </c>
      <c r="E22" s="33"/>
      <c r="F22" s="35">
        <f>IFERROR(($D$5/$D7)/260,"-")</f>
        <v>0.21818181818181817</v>
      </c>
    </row>
    <row r="23" spans="2:10" ht="7.5" customHeight="1" thickBot="1" x14ac:dyDescent="0.25">
      <c r="B23" s="28"/>
      <c r="C23" s="28"/>
      <c r="D23" s="28"/>
      <c r="E23" s="28"/>
      <c r="F23" s="28"/>
    </row>
    <row r="24" spans="2:10" ht="18" customHeight="1" x14ac:dyDescent="0.2">
      <c r="B24" s="118" t="str">
        <f>CONCATENATE("New ",F13," Objectives")</f>
        <v>New Opportunities Objectives</v>
      </c>
      <c r="C24" s="119"/>
      <c r="D24" s="119"/>
      <c r="E24" s="119"/>
      <c r="F24" s="120"/>
    </row>
    <row r="25" spans="2:10" ht="18" customHeight="1" x14ac:dyDescent="0.2">
      <c r="B25" s="27" t="str">
        <f>CONCATENATE(F$13," / Month")</f>
        <v>Opportunities / Month</v>
      </c>
      <c r="C25" s="28"/>
      <c r="D25" s="29" t="str">
        <f>CONCATENATE(F$13," / Week")</f>
        <v>Opportunities / Week</v>
      </c>
      <c r="E25" s="28"/>
      <c r="F25" s="30" t="str">
        <f>CONCATENATE(F$13," / Day")</f>
        <v>Opportunities / Day</v>
      </c>
    </row>
    <row r="26" spans="2:10" ht="18" customHeight="1" thickBot="1" x14ac:dyDescent="0.25">
      <c r="B26" s="32">
        <f>IFERROR($D$15/12,"-")</f>
        <v>2.5</v>
      </c>
      <c r="C26" s="33"/>
      <c r="D26" s="34">
        <f>IFERROR($D$15/52,"-")</f>
        <v>0.57692307692307687</v>
      </c>
      <c r="E26" s="33"/>
      <c r="F26" s="35">
        <f>ROUNDUP($D$15/260,"0")</f>
        <v>1</v>
      </c>
    </row>
    <row r="27" spans="2:10" ht="7.5" customHeight="1" thickBot="1" x14ac:dyDescent="0.25">
      <c r="B27" s="28"/>
      <c r="C27" s="28"/>
      <c r="D27" s="28"/>
      <c r="E27" s="28"/>
      <c r="F27" s="28"/>
    </row>
    <row r="28" spans="2:10" ht="18" customHeight="1" x14ac:dyDescent="0.2">
      <c r="B28" s="121" t="str">
        <f>CONCATENATE("New and Existing ",F13," Objectives")</f>
        <v>New and Existing Opportunities Objectives</v>
      </c>
      <c r="C28" s="122"/>
      <c r="D28" s="122"/>
      <c r="E28" s="122"/>
      <c r="F28" s="123"/>
    </row>
    <row r="29" spans="2:10" ht="18" customHeight="1" x14ac:dyDescent="0.2">
      <c r="B29" s="27" t="str">
        <f>CONCATENATE(F$13," / Month")</f>
        <v>Opportunities / Month</v>
      </c>
      <c r="C29" s="28"/>
      <c r="D29" s="29" t="str">
        <f>CONCATENATE(F$13," / Week")</f>
        <v>Opportunities / Week</v>
      </c>
      <c r="E29" s="28"/>
      <c r="F29" s="30" t="str">
        <f>CONCATENATE(F$13," / Day")</f>
        <v>Opportunities / Day</v>
      </c>
      <c r="J29" s="22"/>
    </row>
    <row r="30" spans="2:10" ht="18" customHeight="1" thickBot="1" x14ac:dyDescent="0.25">
      <c r="B30" s="32">
        <f>IFERROR(B22+B26,"-")</f>
        <v>7.2272727272727275</v>
      </c>
      <c r="C30" s="33"/>
      <c r="D30" s="34">
        <f>IFERROR(D26+D22,"-")</f>
        <v>1.6678321678321677</v>
      </c>
      <c r="E30" s="33"/>
      <c r="F30" s="35">
        <f>IFERROR(F26+F22,"-")</f>
        <v>1.2181818181818183</v>
      </c>
    </row>
    <row r="31" spans="2:10" ht="10.5" customHeight="1" x14ac:dyDescent="0.2"/>
    <row r="32" spans="2:10" ht="10.5" hidden="1" customHeight="1" x14ac:dyDescent="0.2">
      <c r="F32" s="14" t="s">
        <v>34</v>
      </c>
    </row>
    <row r="33" spans="2:11" ht="10.5" hidden="1" customHeight="1" x14ac:dyDescent="0.2">
      <c r="F33" s="14" t="s">
        <v>35</v>
      </c>
    </row>
    <row r="34" spans="2:11" ht="10.5" hidden="1" customHeight="1" x14ac:dyDescent="0.2">
      <c r="F34" s="14" t="s">
        <v>36</v>
      </c>
    </row>
    <row r="35" spans="2:11" ht="10.5" hidden="1" customHeight="1" x14ac:dyDescent="0.2">
      <c r="F35" s="14" t="s">
        <v>37</v>
      </c>
    </row>
    <row r="36" spans="2:11" ht="10.5" hidden="1" customHeight="1" x14ac:dyDescent="0.2">
      <c r="F36" s="14" t="s">
        <v>33</v>
      </c>
    </row>
    <row r="37" spans="2:11" ht="10.5" hidden="1" customHeight="1" x14ac:dyDescent="0.2">
      <c r="F37" s="14" t="s">
        <v>38</v>
      </c>
    </row>
    <row r="38" spans="2:11" ht="10.5" hidden="1" customHeight="1" x14ac:dyDescent="0.2">
      <c r="F38" s="14" t="s">
        <v>39</v>
      </c>
    </row>
    <row r="39" spans="2:11" ht="37.5" customHeight="1" x14ac:dyDescent="0.2">
      <c r="B39" s="106" t="s">
        <v>40</v>
      </c>
      <c r="C39" s="107"/>
      <c r="D39" s="107"/>
      <c r="E39" s="107"/>
      <c r="F39" s="108"/>
      <c r="G39" s="36"/>
      <c r="H39" s="36"/>
      <c r="I39" s="36"/>
      <c r="J39" s="36"/>
      <c r="K39" s="36"/>
    </row>
  </sheetData>
  <mergeCells count="7">
    <mergeCell ref="B39:F39"/>
    <mergeCell ref="F4:F5"/>
    <mergeCell ref="F8:F9"/>
    <mergeCell ref="F13:F14"/>
    <mergeCell ref="B20:F20"/>
    <mergeCell ref="B24:F24"/>
    <mergeCell ref="B28:F28"/>
  </mergeCells>
  <dataValidations count="1">
    <dataValidation type="list" allowBlank="1" showInputMessage="1" showErrorMessage="1" sqref="F13" xr:uid="{E560848F-AB1F-4A5F-8422-EB89806B191A}">
      <formula1>$F$32:$F$38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7918-D56C-451A-896A-C5905ADF3A17}">
  <dimension ref="A1:C19"/>
  <sheetViews>
    <sheetView workbookViewId="0">
      <selection activeCell="E32" sqref="E32"/>
    </sheetView>
  </sheetViews>
  <sheetFormatPr baseColWidth="10" defaultColWidth="8.83203125" defaultRowHeight="15" x14ac:dyDescent="0.2"/>
  <cols>
    <col min="1" max="1" width="21.33203125" customWidth="1"/>
    <col min="2" max="2" width="21.1640625" customWidth="1"/>
    <col min="3" max="3" width="22.5" customWidth="1"/>
  </cols>
  <sheetData>
    <row r="1" spans="1:3" x14ac:dyDescent="0.2">
      <c r="A1" t="s">
        <v>41</v>
      </c>
      <c r="B1">
        <f>Inputs!C17</f>
        <v>1</v>
      </c>
    </row>
    <row r="2" spans="1:3" x14ac:dyDescent="0.2">
      <c r="A2" t="s">
        <v>42</v>
      </c>
      <c r="B2" s="93">
        <f>'Goal Calculator'!D15</f>
        <v>30</v>
      </c>
    </row>
    <row r="3" spans="1:3" x14ac:dyDescent="0.2">
      <c r="A3" t="s">
        <v>43</v>
      </c>
      <c r="B3" s="92">
        <f xml:space="preserve"> (2 * B2 / 12) - B1</f>
        <v>4</v>
      </c>
    </row>
    <row r="4" spans="1:3" x14ac:dyDescent="0.2">
      <c r="A4" t="s">
        <v>44</v>
      </c>
      <c r="B4" t="s">
        <v>33</v>
      </c>
      <c r="C4" s="94" t="s">
        <v>45</v>
      </c>
    </row>
    <row r="5" spans="1:3" x14ac:dyDescent="0.2">
      <c r="A5" t="s">
        <v>46</v>
      </c>
      <c r="B5">
        <f xml:space="preserve"> $B$1</f>
        <v>1</v>
      </c>
      <c r="C5" s="96">
        <f>ROUNDDOWN(B5*Inputs!$C$7*Inputs!$C$9,0)</f>
        <v>16500</v>
      </c>
    </row>
    <row r="6" spans="1:3" x14ac:dyDescent="0.2">
      <c r="A6" t="s">
        <v>47</v>
      </c>
      <c r="B6" s="92">
        <f xml:space="preserve"> $B$1 + (ROW()-ROW($C$5)) * (($B$3 - $B$1)/11)</f>
        <v>1.2727272727272727</v>
      </c>
      <c r="C6" s="96">
        <f>ROUNDDOWN(B6*Inputs!$C$7*Inputs!$C$9,0)</f>
        <v>21000</v>
      </c>
    </row>
    <row r="7" spans="1:3" x14ac:dyDescent="0.2">
      <c r="A7" t="s">
        <v>48</v>
      </c>
      <c r="B7" s="92">
        <f t="shared" ref="B7:B16" si="0" xml:space="preserve"> $B$1 + (ROW()-ROW($C$5)) * (($B$3 - $B$1)/11)</f>
        <v>1.5454545454545454</v>
      </c>
      <c r="C7" s="96">
        <f>ROUNDDOWN(B7*Inputs!$C$7*Inputs!$C$9,0)</f>
        <v>25500</v>
      </c>
    </row>
    <row r="8" spans="1:3" x14ac:dyDescent="0.2">
      <c r="A8" t="s">
        <v>49</v>
      </c>
      <c r="B8" s="92">
        <f t="shared" si="0"/>
        <v>1.8181818181818181</v>
      </c>
      <c r="C8" s="96">
        <f>ROUNDDOWN(B8*Inputs!$C$7*Inputs!$C$9,0)</f>
        <v>30000</v>
      </c>
    </row>
    <row r="9" spans="1:3" x14ac:dyDescent="0.2">
      <c r="A9" t="s">
        <v>50</v>
      </c>
      <c r="B9" s="92">
        <f t="shared" si="0"/>
        <v>2.0909090909090908</v>
      </c>
      <c r="C9" s="96">
        <f>ROUNDDOWN(B9*Inputs!$C$7*Inputs!$C$9,0)</f>
        <v>34500</v>
      </c>
    </row>
    <row r="10" spans="1:3" x14ac:dyDescent="0.2">
      <c r="A10" t="s">
        <v>51</v>
      </c>
      <c r="B10" s="92">
        <f t="shared" si="0"/>
        <v>2.3636363636363633</v>
      </c>
      <c r="C10" s="96">
        <f>ROUNDDOWN(B10*Inputs!$C$7*Inputs!$C$9,0)</f>
        <v>39000</v>
      </c>
    </row>
    <row r="11" spans="1:3" x14ac:dyDescent="0.2">
      <c r="A11" t="s">
        <v>52</v>
      </c>
      <c r="B11" s="92">
        <f t="shared" si="0"/>
        <v>2.6363636363636362</v>
      </c>
      <c r="C11" s="96">
        <f>ROUNDDOWN(B11*Inputs!$C$7*Inputs!$C$9,0)</f>
        <v>43500</v>
      </c>
    </row>
    <row r="12" spans="1:3" x14ac:dyDescent="0.2">
      <c r="A12" t="s">
        <v>53</v>
      </c>
      <c r="B12" s="92">
        <f t="shared" si="0"/>
        <v>2.9090909090909092</v>
      </c>
      <c r="C12" s="96">
        <f>ROUNDDOWN(B12*Inputs!$C$7*Inputs!$C$9,0)</f>
        <v>48000</v>
      </c>
    </row>
    <row r="13" spans="1:3" x14ac:dyDescent="0.2">
      <c r="A13" t="s">
        <v>54</v>
      </c>
      <c r="B13" s="92">
        <f t="shared" si="0"/>
        <v>3.1818181818181817</v>
      </c>
      <c r="C13" s="96">
        <f>ROUNDDOWN(B13*Inputs!$C$7*Inputs!$C$9,0)</f>
        <v>52500</v>
      </c>
    </row>
    <row r="14" spans="1:3" x14ac:dyDescent="0.2">
      <c r="A14" t="s">
        <v>55</v>
      </c>
      <c r="B14" s="92">
        <f t="shared" si="0"/>
        <v>3.4545454545454541</v>
      </c>
      <c r="C14" s="96">
        <f>ROUNDDOWN(B14*Inputs!$C$7*Inputs!$C$9,0)</f>
        <v>57000</v>
      </c>
    </row>
    <row r="15" spans="1:3" x14ac:dyDescent="0.2">
      <c r="A15" t="s">
        <v>56</v>
      </c>
      <c r="B15" s="92">
        <f t="shared" si="0"/>
        <v>3.7272727272727271</v>
      </c>
      <c r="C15" s="96">
        <f>ROUNDDOWN(B15*Inputs!$C$7*Inputs!$C$9,0)</f>
        <v>61500</v>
      </c>
    </row>
    <row r="16" spans="1:3" x14ac:dyDescent="0.2">
      <c r="A16" t="s">
        <v>57</v>
      </c>
      <c r="B16" s="92">
        <f t="shared" si="0"/>
        <v>4</v>
      </c>
      <c r="C16" s="96">
        <f>ROUNDDOWN(B16*Inputs!$C$7*Inputs!$C$9,0)</f>
        <v>66000</v>
      </c>
    </row>
    <row r="19" spans="2:3" x14ac:dyDescent="0.2">
      <c r="B19">
        <f>SUM(B5:B16)</f>
        <v>30</v>
      </c>
      <c r="C19" s="98">
        <f>SUM(C5:C16)</f>
        <v>495000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1"/>
  <sheetViews>
    <sheetView workbookViewId="0">
      <selection activeCell="B5" sqref="B5"/>
    </sheetView>
  </sheetViews>
  <sheetFormatPr baseColWidth="10" defaultColWidth="9.1640625" defaultRowHeight="17" x14ac:dyDescent="0.25"/>
  <cols>
    <col min="1" max="1" width="4.5" style="2" customWidth="1"/>
    <col min="2" max="2" width="38.1640625" style="2" customWidth="1"/>
    <col min="3" max="3" width="2.1640625" style="2" customWidth="1"/>
    <col min="4" max="4" width="29.1640625" style="1" customWidth="1"/>
    <col min="5" max="5" width="2.1640625" style="2" customWidth="1"/>
    <col min="6" max="6" width="26.83203125" style="3" customWidth="1"/>
    <col min="7" max="7" width="9.1640625" style="54"/>
    <col min="8" max="8" width="9.1640625" style="2"/>
    <col min="9" max="9" width="10.83203125" style="2" bestFit="1" customWidth="1"/>
    <col min="10" max="13" width="9.1640625" style="2"/>
    <col min="14" max="14" width="0" style="2" hidden="1" customWidth="1"/>
    <col min="15" max="16384" width="9.1640625" style="2"/>
  </cols>
  <sheetData>
    <row r="1" spans="2:14" ht="54.75" customHeight="1" x14ac:dyDescent="0.25"/>
    <row r="2" spans="2:14" ht="82.5" customHeight="1" x14ac:dyDescent="0.25">
      <c r="B2" s="124" t="s">
        <v>58</v>
      </c>
      <c r="C2" s="124"/>
      <c r="D2" s="124"/>
      <c r="E2" s="44"/>
      <c r="F2" s="52"/>
    </row>
    <row r="3" spans="2:14" ht="40" x14ac:dyDescent="0.25">
      <c r="B3" s="50" t="s">
        <v>59</v>
      </c>
      <c r="C3" s="43"/>
      <c r="D3" s="43"/>
      <c r="E3" s="44"/>
      <c r="F3" s="53">
        <v>0.06</v>
      </c>
      <c r="G3" s="54" t="s">
        <v>60</v>
      </c>
    </row>
    <row r="4" spans="2:14" ht="22.5" customHeight="1" x14ac:dyDescent="0.25">
      <c r="B4" s="51">
        <f>Inputs!C15</f>
        <v>0.02</v>
      </c>
      <c r="C4" s="43"/>
      <c r="D4" s="43"/>
      <c r="E4" s="44"/>
      <c r="F4" s="53">
        <v>0.09</v>
      </c>
      <c r="G4" s="54" t="s">
        <v>61</v>
      </c>
    </row>
    <row r="5" spans="2:14" ht="14" customHeight="1" x14ac:dyDescent="0.25">
      <c r="B5" s="41"/>
      <c r="C5" s="41"/>
      <c r="D5" s="41"/>
      <c r="E5" s="41"/>
      <c r="F5" s="53">
        <v>0.12</v>
      </c>
      <c r="G5" s="54" t="s">
        <v>62</v>
      </c>
    </row>
    <row r="6" spans="2:14" ht="19" x14ac:dyDescent="0.25">
      <c r="B6" s="42" t="s">
        <v>63</v>
      </c>
      <c r="C6" s="41"/>
      <c r="D6" s="4" t="s">
        <v>64</v>
      </c>
      <c r="E6" s="41"/>
      <c r="F6" s="52"/>
    </row>
    <row r="7" spans="2:14" ht="19" x14ac:dyDescent="0.25">
      <c r="B7" s="49" cm="1">
        <f t="array" ref="B7:B8">'Goal Calculator'!F8:F9</f>
        <v>3303000</v>
      </c>
      <c r="C7" s="41"/>
      <c r="D7" s="7">
        <f>((D12*D14)*(D16*D18))-B10</f>
        <v>86100</v>
      </c>
      <c r="E7" s="41"/>
      <c r="F7" s="52"/>
    </row>
    <row r="8" spans="2:14" ht="14.5" customHeight="1" x14ac:dyDescent="0.25">
      <c r="B8" s="55">
        <v>0</v>
      </c>
    </row>
    <row r="9" spans="2:14" x14ac:dyDescent="0.25">
      <c r="B9" s="4" t="s">
        <v>65</v>
      </c>
      <c r="C9" s="5"/>
      <c r="D9" s="4" t="str">
        <f>CONCATENATE("Value per ",B12)</f>
        <v>Value per Opportunities</v>
      </c>
      <c r="E9" s="5"/>
    </row>
    <row r="10" spans="2:14" x14ac:dyDescent="0.25">
      <c r="B10" s="48">
        <f>'Goal Calculator'!D5*'Lead Value Sandbox'!B4</f>
        <v>62400</v>
      </c>
      <c r="C10" s="6"/>
      <c r="D10" s="7">
        <f>IFERROR(D7/(D12),"-")</f>
        <v>2870</v>
      </c>
      <c r="E10" s="6"/>
    </row>
    <row r="12" spans="2:14" x14ac:dyDescent="0.25">
      <c r="B12" s="3" t="str">
        <f>N13</f>
        <v>Opportunities</v>
      </c>
      <c r="D12" s="38">
        <f>'Goal Calculator'!D15</f>
        <v>30</v>
      </c>
    </row>
    <row r="13" spans="2:14" ht="8.5" customHeight="1" x14ac:dyDescent="0.25">
      <c r="N13" s="2" t="str" cm="1">
        <f t="array" ref="N13:N14">'Goal Calculator'!F13:F14</f>
        <v>Opportunities</v>
      </c>
    </row>
    <row r="14" spans="2:14" x14ac:dyDescent="0.25">
      <c r="B14" s="3" t="str">
        <f>CONCATENATE(B12," Close Rate")</f>
        <v>Opportunities Close Rate</v>
      </c>
      <c r="D14" s="39">
        <f>'Goal Calculator'!D9</f>
        <v>0.3</v>
      </c>
      <c r="I14" s="9"/>
      <c r="N14" s="2">
        <v>0</v>
      </c>
    </row>
    <row r="15" spans="2:14" ht="8.25" customHeight="1" x14ac:dyDescent="0.25">
      <c r="B15" s="3"/>
    </row>
    <row r="16" spans="2:14" x14ac:dyDescent="0.25">
      <c r="B16" s="3" t="s">
        <v>66</v>
      </c>
      <c r="D16" s="40">
        <f>'Goal Calculator'!D7</f>
        <v>55000</v>
      </c>
    </row>
    <row r="17" spans="2:16" ht="8.25" customHeight="1" x14ac:dyDescent="0.25">
      <c r="B17" s="3"/>
      <c r="D17" s="3"/>
      <c r="P17" s="3"/>
    </row>
    <row r="18" spans="2:16" x14ac:dyDescent="0.25">
      <c r="B18" s="3" t="s">
        <v>5</v>
      </c>
      <c r="D18" s="8">
        <f>Inputs!C13</f>
        <v>0.3</v>
      </c>
      <c r="P18" s="3"/>
    </row>
    <row r="19" spans="2:16" ht="8.25" customHeight="1" x14ac:dyDescent="0.25">
      <c r="B19" s="3"/>
      <c r="D19" s="3"/>
    </row>
    <row r="20" spans="2:16" ht="8.25" customHeight="1" x14ac:dyDescent="0.25"/>
    <row r="21" spans="2:16" x14ac:dyDescent="0.25">
      <c r="B21" s="3" t="str">
        <f>CONCATENATE(B12," Cost")</f>
        <v>Opportunities Cost</v>
      </c>
      <c r="D21" s="10">
        <f>IFERROR(B10/D12,"-")</f>
        <v>2080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D14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5"/>
  <sheetViews>
    <sheetView workbookViewId="0">
      <selection activeCell="J23" sqref="J23"/>
    </sheetView>
  </sheetViews>
  <sheetFormatPr baseColWidth="10" defaultColWidth="8.5" defaultRowHeight="14" x14ac:dyDescent="0.15"/>
  <cols>
    <col min="1" max="1" width="2.5" style="84" customWidth="1"/>
    <col min="2" max="2" width="44.5" style="84" customWidth="1"/>
    <col min="3" max="3" width="110.83203125" style="84" customWidth="1"/>
    <col min="4" max="14" width="7" style="84" customWidth="1"/>
    <col min="15" max="16384" width="8.5" style="84"/>
  </cols>
  <sheetData>
    <row r="2" spans="2:3" ht="52.5" customHeight="1" x14ac:dyDescent="0.3">
      <c r="B2" s="125" t="s">
        <v>67</v>
      </c>
      <c r="C2" s="125"/>
    </row>
    <row r="3" spans="2:3" ht="6" customHeight="1" x14ac:dyDescent="0.15"/>
    <row r="4" spans="2:3" ht="35.25" customHeight="1" x14ac:dyDescent="0.15">
      <c r="B4" s="126" t="s">
        <v>68</v>
      </c>
      <c r="C4" s="126"/>
    </row>
    <row r="6" spans="2:3" x14ac:dyDescent="0.15">
      <c r="B6" s="86" t="s">
        <v>69</v>
      </c>
      <c r="C6" s="87"/>
    </row>
    <row r="7" spans="2:3" ht="15" x14ac:dyDescent="0.15">
      <c r="B7" s="86"/>
      <c r="C7" s="85" t="s">
        <v>70</v>
      </c>
    </row>
    <row r="9" spans="2:3" x14ac:dyDescent="0.15">
      <c r="B9" s="86" t="s">
        <v>71</v>
      </c>
      <c r="C9" s="88"/>
    </row>
    <row r="10" spans="2:3" ht="30.75" customHeight="1" x14ac:dyDescent="0.15">
      <c r="B10" s="86"/>
      <c r="C10" s="85" t="s">
        <v>72</v>
      </c>
    </row>
    <row r="11" spans="2:3" x14ac:dyDescent="0.15">
      <c r="B11" s="86"/>
    </row>
    <row r="12" spans="2:3" x14ac:dyDescent="0.15">
      <c r="B12" s="86" t="s">
        <v>73</v>
      </c>
      <c r="C12" s="87"/>
    </row>
    <row r="13" spans="2:3" ht="15" x14ac:dyDescent="0.15">
      <c r="B13" s="86"/>
      <c r="C13" s="85" t="s">
        <v>74</v>
      </c>
    </row>
    <row r="14" spans="2:3" x14ac:dyDescent="0.15">
      <c r="B14" s="86"/>
    </row>
    <row r="15" spans="2:3" x14ac:dyDescent="0.15">
      <c r="B15" s="86" t="s">
        <v>75</v>
      </c>
      <c r="C15" s="87"/>
    </row>
    <row r="16" spans="2:3" ht="15" x14ac:dyDescent="0.15">
      <c r="B16" s="86"/>
      <c r="C16" s="85" t="s">
        <v>76</v>
      </c>
    </row>
    <row r="17" spans="2:3" x14ac:dyDescent="0.15">
      <c r="B17" s="86"/>
    </row>
    <row r="18" spans="2:3" x14ac:dyDescent="0.15">
      <c r="B18" s="86" t="s">
        <v>77</v>
      </c>
      <c r="C18" s="87"/>
    </row>
    <row r="19" spans="2:3" ht="15" x14ac:dyDescent="0.15">
      <c r="B19" s="86"/>
      <c r="C19" s="85" t="s">
        <v>78</v>
      </c>
    </row>
    <row r="20" spans="2:3" x14ac:dyDescent="0.15">
      <c r="B20" s="86"/>
    </row>
    <row r="21" spans="2:3" x14ac:dyDescent="0.15">
      <c r="B21" s="86" t="s">
        <v>79</v>
      </c>
      <c r="C21" s="87"/>
    </row>
    <row r="22" spans="2:3" ht="15" x14ac:dyDescent="0.15">
      <c r="B22" s="86"/>
      <c r="C22" s="85" t="s">
        <v>80</v>
      </c>
    </row>
    <row r="24" spans="2:3" x14ac:dyDescent="0.15">
      <c r="B24" s="86" t="s">
        <v>81</v>
      </c>
      <c r="C24" s="89" t="str">
        <f>C9&amp;"?utm_source="&amp;C12&amp;"&amp;utm_medium="&amp;C15&amp;"&amp;utm_term="&amp;C18&amp;"&amp;utm_content="&amp;C21&amp;"&amp;utm_campaign="&amp;C6</f>
        <v>?utm_source=&amp;utm_medium=&amp;utm_term=&amp;utm_content=&amp;utm_campaign=</v>
      </c>
    </row>
    <row r="25" spans="2:3" ht="15" x14ac:dyDescent="0.15">
      <c r="C25" s="85" t="s">
        <v>82</v>
      </c>
    </row>
  </sheetData>
  <mergeCells count="2">
    <mergeCell ref="B2:C2"/>
    <mergeCell ref="B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15"/>
  <sheetViews>
    <sheetView zoomScaleNormal="100" workbookViewId="0">
      <selection activeCell="C6" sqref="C6"/>
    </sheetView>
  </sheetViews>
  <sheetFormatPr baseColWidth="10" defaultColWidth="9.5" defaultRowHeight="16" x14ac:dyDescent="0.2"/>
  <cols>
    <col min="1" max="1" width="2.1640625" style="12" customWidth="1"/>
    <col min="2" max="2" width="9.5" style="12"/>
    <col min="3" max="3" width="82.5" style="12" bestFit="1" customWidth="1"/>
    <col min="4" max="16384" width="9.5" style="12"/>
  </cols>
  <sheetData>
    <row r="2" spans="2:3" x14ac:dyDescent="0.2">
      <c r="B2" s="12" t="s">
        <v>83</v>
      </c>
    </row>
    <row r="3" spans="2:3" x14ac:dyDescent="0.2">
      <c r="C3" s="13" t="s">
        <v>84</v>
      </c>
    </row>
    <row r="5" spans="2:3" x14ac:dyDescent="0.2">
      <c r="B5" s="12" t="s">
        <v>85</v>
      </c>
    </row>
    <row r="6" spans="2:3" x14ac:dyDescent="0.2">
      <c r="C6" s="11" t="s">
        <v>86</v>
      </c>
    </row>
    <row r="8" spans="2:3" x14ac:dyDescent="0.2">
      <c r="B8" s="12" t="s">
        <v>87</v>
      </c>
    </row>
    <row r="9" spans="2:3" x14ac:dyDescent="0.2">
      <c r="C9" s="11" t="s">
        <v>88</v>
      </c>
    </row>
    <row r="11" spans="2:3" x14ac:dyDescent="0.2">
      <c r="B11" s="12" t="s">
        <v>89</v>
      </c>
    </row>
    <row r="12" spans="2:3" x14ac:dyDescent="0.2">
      <c r="C12" s="37" t="s">
        <v>90</v>
      </c>
    </row>
    <row r="14" spans="2:3" x14ac:dyDescent="0.2">
      <c r="B14" s="12" t="s">
        <v>91</v>
      </c>
    </row>
    <row r="15" spans="2:3" x14ac:dyDescent="0.2">
      <c r="C15" s="37" t="s">
        <v>92</v>
      </c>
    </row>
  </sheetData>
  <hyperlinks>
    <hyperlink ref="C3" r:id="rId1" xr:uid="{F023385F-4DDD-4CFC-A61B-2A5CC1E4E50C}"/>
    <hyperlink ref="C6" r:id="rId2" xr:uid="{DDE66BDA-9E16-41A6-B0DB-8255C70A79EF}"/>
    <hyperlink ref="C9" r:id="rId3" xr:uid="{BEE8B599-EE33-48A4-A046-87F63AAD5DDB}"/>
    <hyperlink ref="C12" r:id="rId4" xr:uid="{CBCFD3B6-542B-234D-9453-F86804787572}"/>
    <hyperlink ref="C15" r:id="rId5" xr:uid="{92023D59-E562-364E-A8F5-CBD9C7131A1A}"/>
  </hyperlinks>
  <pageMargins left="0.7" right="0.7" top="0.75" bottom="0.75" header="0.3" footer="0.3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370EDCDE3444C97F54C68A491A859" ma:contentTypeVersion="18" ma:contentTypeDescription="Create a new document." ma:contentTypeScope="" ma:versionID="5513dcaca2ed924d472c7046ee0dd8d0">
  <xsd:schema xmlns:xsd="http://www.w3.org/2001/XMLSchema" xmlns:xs="http://www.w3.org/2001/XMLSchema" xmlns:p="http://schemas.microsoft.com/office/2006/metadata/properties" xmlns:ns3="b1b9609f-062b-4200-a648-becd8b438a5a" xmlns:ns4="8bdd2556-9078-4a09-a671-5792aa1a9365" targetNamespace="http://schemas.microsoft.com/office/2006/metadata/properties" ma:root="true" ma:fieldsID="356ecfdb8cae29c64cffa904ea9e3372" ns3:_="" ns4:_="">
    <xsd:import namespace="b1b9609f-062b-4200-a648-becd8b438a5a"/>
    <xsd:import namespace="8bdd2556-9078-4a09-a671-5792aa1a93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609f-062b-4200-a648-becd8b43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d2556-9078-4a09-a671-5792aa1a9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dd2556-9078-4a09-a671-5792aa1a9365" xsi:nil="true"/>
  </documentManagement>
</p:properties>
</file>

<file path=customXml/itemProps1.xml><?xml version="1.0" encoding="utf-8"?>
<ds:datastoreItem xmlns:ds="http://schemas.openxmlformats.org/officeDocument/2006/customXml" ds:itemID="{0FC2B262-DC4B-4FC2-95D9-8954DC5CA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9609f-062b-4200-a648-becd8b438a5a"/>
    <ds:schemaRef ds:uri="8bdd2556-9078-4a09-a671-5792aa1a9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3FF97-6CF4-48C9-AEED-9621814E22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2E771-C1F5-47A7-BBAD-C69F04E9F8CB}">
  <ds:schemaRefs>
    <ds:schemaRef ds:uri="http://schemas.microsoft.com/office/2006/metadata/properties"/>
    <ds:schemaRef ds:uri="http://schemas.microsoft.com/office/infopath/2007/PartnerControls"/>
    <ds:schemaRef ds:uri="8bdd2556-9078-4a09-a671-5792aa1a93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Inputs</vt:lpstr>
      <vt:lpstr>Report</vt:lpstr>
      <vt:lpstr>Scrap Paper</vt:lpstr>
      <vt:lpstr>Goal Calculator</vt:lpstr>
      <vt:lpstr>Monthly Opp Goals</vt:lpstr>
      <vt:lpstr>Lead Value Sandbox</vt:lpstr>
      <vt:lpstr>URL Tracking</vt:lpstr>
      <vt:lpstr>Useful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Robb Luther</dc:creator>
  <cp:keywords/>
  <dc:description/>
  <cp:lastModifiedBy>Ramiro Iriniz</cp:lastModifiedBy>
  <cp:revision/>
  <dcterms:created xsi:type="dcterms:W3CDTF">2015-07-21T12:39:01Z</dcterms:created>
  <dcterms:modified xsi:type="dcterms:W3CDTF">2025-04-07T20:59:35Z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0x010100EB1370EDCDE3444C97F54C68A491A859</vt:lpwstr>
  </property>
</Properties>
</file>